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CSTONEMA\a - current projects\tribal minor NSR\actions\bundle #1\support or docket\final\"/>
    </mc:Choice>
  </mc:AlternateContent>
  <bookViews>
    <workbookView xWindow="-30" yWindow="-15" windowWidth="15090" windowHeight="4500" tabRatio="771"/>
  </bookViews>
  <sheets>
    <sheet name="Inputs" sheetId="8" r:id="rId1"/>
    <sheet name="Output" sheetId="13" r:id="rId2"/>
    <sheet name="Surface Coating" sheetId="1" r:id="rId3"/>
    <sheet name="DV-IDENTITY-0" sheetId="20" state="veryHidden" r:id="rId4"/>
    <sheet name="Heater" sheetId="4" r:id="rId5"/>
    <sheet name="Cold Degreaser" sheetId="21" r:id="rId6"/>
  </sheets>
  <calcPr calcId="152511"/>
</workbook>
</file>

<file path=xl/calcChain.xml><?xml version="1.0" encoding="utf-8"?>
<calcChain xmlns="http://schemas.openxmlformats.org/spreadsheetml/2006/main">
  <c r="C5" i="21" l="1"/>
  <c r="C4" i="21"/>
  <c r="L8" i="21" s="1"/>
  <c r="F8" i="21"/>
  <c r="C23" i="1"/>
  <c r="F23" i="1" s="1"/>
  <c r="G27" i="1" s="1"/>
  <c r="E27" i="1"/>
  <c r="D27" i="1"/>
  <c r="C27" i="1"/>
  <c r="B27" i="1"/>
  <c r="E12" i="1"/>
  <c r="D12" i="1"/>
  <c r="F12" i="1" s="1"/>
  <c r="C12" i="1"/>
  <c r="B12" i="1"/>
  <c r="E11" i="1"/>
  <c r="D11" i="1"/>
  <c r="C11" i="1"/>
  <c r="B11" i="1"/>
  <c r="H47" i="4"/>
  <c r="F27" i="1"/>
  <c r="E44" i="4"/>
  <c r="I28" i="4"/>
  <c r="H31" i="4" s="1"/>
  <c r="E28" i="4"/>
  <c r="E12" i="4"/>
  <c r="A94" i="20"/>
  <c r="B94" i="20"/>
  <c r="C94" i="20"/>
  <c r="D94" i="20"/>
  <c r="E94" i="20"/>
  <c r="F94" i="20"/>
  <c r="G94" i="20"/>
  <c r="H94" i="20"/>
  <c r="I94" i="20"/>
  <c r="J94" i="20"/>
  <c r="K94" i="20"/>
  <c r="L94" i="20"/>
  <c r="M94" i="20"/>
  <c r="N94" i="20"/>
  <c r="O94" i="20"/>
  <c r="P94" i="20"/>
  <c r="Q94" i="20"/>
  <c r="R94" i="20"/>
  <c r="S94" i="20"/>
  <c r="T94" i="20"/>
  <c r="U94" i="20"/>
  <c r="V94" i="20"/>
  <c r="W94" i="20"/>
  <c r="X94" i="20"/>
  <c r="Y94" i="20"/>
  <c r="Z94" i="20"/>
  <c r="AA94" i="20"/>
  <c r="AB94" i="20"/>
  <c r="AC94" i="20"/>
  <c r="AD94" i="20"/>
  <c r="AE94" i="20"/>
  <c r="AF94" i="20"/>
  <c r="AG94" i="20"/>
  <c r="AH94" i="20"/>
  <c r="AI94" i="20"/>
  <c r="AJ94" i="20"/>
  <c r="AK94" i="20"/>
  <c r="AL94" i="20"/>
  <c r="AM94" i="20"/>
  <c r="AN94" i="20"/>
  <c r="AO94" i="20"/>
  <c r="AP94" i="20"/>
  <c r="AQ94" i="20"/>
  <c r="AR94" i="20"/>
  <c r="AS94" i="20"/>
  <c r="AT94" i="20"/>
  <c r="AU94" i="20"/>
  <c r="AV94" i="20"/>
  <c r="AW94" i="20"/>
  <c r="AX94" i="20"/>
  <c r="AY94" i="20"/>
  <c r="AZ94" i="20"/>
  <c r="BA94" i="20"/>
  <c r="BB94" i="20"/>
  <c r="BC94" i="20"/>
  <c r="BD94" i="20"/>
  <c r="BE94" i="20"/>
  <c r="BF94" i="20"/>
  <c r="BG94" i="20"/>
  <c r="BH94" i="20"/>
  <c r="BI94" i="20"/>
  <c r="BJ94" i="20"/>
  <c r="BK94" i="20"/>
  <c r="BL94" i="20"/>
  <c r="BM94" i="20"/>
  <c r="BN94" i="20"/>
  <c r="BO94" i="20"/>
  <c r="BP94" i="20"/>
  <c r="BQ94" i="20"/>
  <c r="BR94" i="20"/>
  <c r="BS94" i="20"/>
  <c r="BT94" i="20"/>
  <c r="BU94" i="20"/>
  <c r="BV94" i="20"/>
  <c r="BW94" i="20"/>
  <c r="BX94" i="20"/>
  <c r="BY94" i="20"/>
  <c r="BZ94" i="20"/>
  <c r="CA94" i="20"/>
  <c r="CB94" i="20"/>
  <c r="CC94" i="20"/>
  <c r="CD94" i="20"/>
  <c r="CE94" i="20"/>
  <c r="CF94" i="20"/>
  <c r="CG94" i="20"/>
  <c r="CH94" i="20"/>
  <c r="CI94" i="20"/>
  <c r="CJ94" i="20"/>
  <c r="CK94" i="20"/>
  <c r="CL94" i="20"/>
  <c r="CM94" i="20"/>
  <c r="CN94" i="20"/>
  <c r="CO94" i="20"/>
  <c r="CP94" i="20"/>
  <c r="CQ94" i="20"/>
  <c r="CR94" i="20"/>
  <c r="CS94" i="20"/>
  <c r="CT94" i="20"/>
  <c r="CU94" i="20"/>
  <c r="CV94" i="20"/>
  <c r="CW94" i="20"/>
  <c r="CX94" i="20"/>
  <c r="CY94" i="20"/>
  <c r="CZ94" i="20"/>
  <c r="DA94" i="20"/>
  <c r="DB94" i="20"/>
  <c r="DC94" i="20"/>
  <c r="DD94" i="20"/>
  <c r="DE94" i="20"/>
  <c r="DF94" i="20"/>
  <c r="DG94" i="20"/>
  <c r="DH94" i="20"/>
  <c r="DI94" i="20"/>
  <c r="DJ94" i="20"/>
  <c r="DK94" i="20"/>
  <c r="DL94" i="20"/>
  <c r="DM94" i="20"/>
  <c r="DN94" i="20"/>
  <c r="DO94" i="20"/>
  <c r="DP94" i="20"/>
  <c r="DQ94" i="20"/>
  <c r="DR94" i="20"/>
  <c r="DS94" i="20"/>
  <c r="DT94" i="20"/>
  <c r="DU94" i="20"/>
  <c r="DV94" i="20"/>
  <c r="DW94" i="20"/>
  <c r="DX94" i="20"/>
  <c r="DY94" i="20"/>
  <c r="DZ94" i="20"/>
  <c r="EA94" i="20"/>
  <c r="EB94" i="20"/>
  <c r="EC94" i="20"/>
  <c r="ED94" i="20"/>
  <c r="EE94" i="20"/>
  <c r="EF94" i="20"/>
  <c r="EG94" i="20"/>
  <c r="EH94" i="20"/>
  <c r="EI94" i="20"/>
  <c r="EJ94" i="20"/>
  <c r="EK94" i="20"/>
  <c r="EL94" i="20"/>
  <c r="EM94" i="20"/>
  <c r="EN94" i="20"/>
  <c r="EO94" i="20"/>
  <c r="EP94" i="20"/>
  <c r="EQ94" i="20"/>
  <c r="ER94" i="20"/>
  <c r="ES94" i="20"/>
  <c r="ET94" i="20"/>
  <c r="EU94" i="20"/>
  <c r="EV94" i="20"/>
  <c r="EW94" i="20"/>
  <c r="EX94" i="20"/>
  <c r="EY94" i="20"/>
  <c r="EZ94" i="20"/>
  <c r="FA94" i="20"/>
  <c r="FB94" i="20"/>
  <c r="FC94" i="20"/>
  <c r="FD94" i="20"/>
  <c r="FE94" i="20"/>
  <c r="FF94" i="20"/>
  <c r="FG94" i="20"/>
  <c r="FH94" i="20"/>
  <c r="FI94" i="20"/>
  <c r="FJ94" i="20"/>
  <c r="FK94" i="20"/>
  <c r="FL94" i="20"/>
  <c r="FM94" i="20"/>
  <c r="FN94" i="20"/>
  <c r="FO94" i="20"/>
  <c r="FP94" i="20"/>
  <c r="FQ94" i="20"/>
  <c r="FR94" i="20"/>
  <c r="FS94" i="20"/>
  <c r="FT94" i="20"/>
  <c r="FU94" i="20"/>
  <c r="FV94" i="20"/>
  <c r="FW94" i="20"/>
  <c r="FX94" i="20"/>
  <c r="FY94" i="20"/>
  <c r="FZ94" i="20"/>
  <c r="GA94" i="20"/>
  <c r="GB94" i="20"/>
  <c r="GC94" i="20"/>
  <c r="GD94" i="20"/>
  <c r="GE94" i="20"/>
  <c r="GF94" i="20"/>
  <c r="GG94" i="20"/>
  <c r="GH94" i="20"/>
  <c r="GI94" i="20"/>
  <c r="GJ94" i="20"/>
  <c r="GK94" i="20"/>
  <c r="GL94" i="20"/>
  <c r="GN94" i="20"/>
  <c r="GO94" i="20"/>
  <c r="GP94" i="20"/>
  <c r="GQ94" i="20"/>
  <c r="GR94" i="20"/>
  <c r="GS94" i="20"/>
  <c r="GT94" i="20"/>
  <c r="GU94" i="20"/>
  <c r="GV94" i="20"/>
  <c r="GW94" i="20"/>
  <c r="GX94" i="20"/>
  <c r="GY94" i="20"/>
  <c r="A93" i="20"/>
  <c r="B93" i="20"/>
  <c r="C93" i="20"/>
  <c r="D93" i="20"/>
  <c r="E93" i="20"/>
  <c r="F93" i="20"/>
  <c r="G93" i="20"/>
  <c r="H93" i="20"/>
  <c r="I93" i="20"/>
  <c r="J93" i="20"/>
  <c r="K93" i="20"/>
  <c r="L93" i="20"/>
  <c r="M93" i="20"/>
  <c r="N93" i="20"/>
  <c r="O93" i="20"/>
  <c r="P93" i="20"/>
  <c r="Q93" i="20"/>
  <c r="R93" i="20"/>
  <c r="S93" i="20"/>
  <c r="T93" i="20"/>
  <c r="U93" i="20"/>
  <c r="V93" i="20"/>
  <c r="W93" i="20"/>
  <c r="X93" i="20"/>
  <c r="Y93" i="20"/>
  <c r="Z93" i="20"/>
  <c r="AA93" i="20"/>
  <c r="AB93" i="20"/>
  <c r="AC93" i="20"/>
  <c r="AD93" i="20"/>
  <c r="AE93" i="20"/>
  <c r="AF93" i="20"/>
  <c r="AG93" i="20"/>
  <c r="AH93" i="20"/>
  <c r="AI93" i="20"/>
  <c r="AJ93" i="20"/>
  <c r="AK93" i="20"/>
  <c r="AL93" i="20"/>
  <c r="AM93" i="20"/>
  <c r="AN93" i="20"/>
  <c r="AO93" i="20"/>
  <c r="AP93" i="20"/>
  <c r="AQ93" i="20"/>
  <c r="AR93" i="20"/>
  <c r="AS93" i="20"/>
  <c r="AT93" i="20"/>
  <c r="AU93" i="20"/>
  <c r="AV93" i="20"/>
  <c r="AW93" i="20"/>
  <c r="AX93" i="20"/>
  <c r="AY93" i="20"/>
  <c r="AZ93" i="20"/>
  <c r="BA93" i="20"/>
  <c r="BB93" i="20"/>
  <c r="BC93" i="20"/>
  <c r="BD93" i="20"/>
  <c r="BE93" i="20"/>
  <c r="BF93" i="20"/>
  <c r="BG93" i="20"/>
  <c r="BH93" i="20"/>
  <c r="BI93" i="20"/>
  <c r="BJ93" i="20"/>
  <c r="BK93" i="20"/>
  <c r="BL93" i="20"/>
  <c r="BM93" i="20"/>
  <c r="BN93" i="20"/>
  <c r="BO93" i="20"/>
  <c r="BP93" i="20"/>
  <c r="BQ93" i="20"/>
  <c r="BR93" i="20"/>
  <c r="BS93" i="20"/>
  <c r="BT93" i="20"/>
  <c r="BU93" i="20"/>
  <c r="BV93" i="20"/>
  <c r="BW93" i="20"/>
  <c r="BX93" i="20"/>
  <c r="BY93" i="20"/>
  <c r="BZ93" i="20"/>
  <c r="CA93" i="20"/>
  <c r="CB93" i="20"/>
  <c r="CC93" i="20"/>
  <c r="CD93" i="20"/>
  <c r="CE93" i="20"/>
  <c r="CF93" i="20"/>
  <c r="CG93" i="20"/>
  <c r="CH93" i="20"/>
  <c r="CI93" i="20"/>
  <c r="CJ93" i="20"/>
  <c r="CK93" i="20"/>
  <c r="CL93" i="20"/>
  <c r="CM93" i="20"/>
  <c r="CN93" i="20"/>
  <c r="CO93" i="20"/>
  <c r="CP93" i="20"/>
  <c r="CQ93" i="20"/>
  <c r="CR93" i="20"/>
  <c r="CS93" i="20"/>
  <c r="CT93" i="20"/>
  <c r="CU93" i="20"/>
  <c r="CV93" i="20"/>
  <c r="CW93" i="20"/>
  <c r="CX93" i="20"/>
  <c r="CY93" i="20"/>
  <c r="CZ93" i="20"/>
  <c r="DA93" i="20"/>
  <c r="DB93" i="20"/>
  <c r="DC93" i="20"/>
  <c r="DD93" i="20"/>
  <c r="DE93" i="20"/>
  <c r="DF93" i="20"/>
  <c r="DG93" i="20"/>
  <c r="DH93" i="20"/>
  <c r="DI93" i="20"/>
  <c r="DJ93" i="20"/>
  <c r="DK93" i="20"/>
  <c r="DL93" i="20"/>
  <c r="DM93" i="20"/>
  <c r="DN93" i="20"/>
  <c r="DO93" i="20"/>
  <c r="DP93" i="20"/>
  <c r="DQ93" i="20"/>
  <c r="DR93" i="20"/>
  <c r="DS93" i="20"/>
  <c r="DT93" i="20"/>
  <c r="DU93" i="20"/>
  <c r="DV93" i="20"/>
  <c r="DW93" i="20"/>
  <c r="DX93" i="20"/>
  <c r="DY93" i="20"/>
  <c r="DZ93" i="20"/>
  <c r="EA93" i="20"/>
  <c r="EB93" i="20"/>
  <c r="EC93" i="20"/>
  <c r="ED93" i="20"/>
  <c r="EE93" i="20"/>
  <c r="EF93" i="20"/>
  <c r="EG93" i="20"/>
  <c r="EH93" i="20"/>
  <c r="EI93" i="20"/>
  <c r="EJ93" i="20"/>
  <c r="EK93" i="20"/>
  <c r="EL93" i="20"/>
  <c r="EM93" i="20"/>
  <c r="EN93" i="20"/>
  <c r="EO93" i="20"/>
  <c r="EP93" i="20"/>
  <c r="EQ93" i="20"/>
  <c r="ER93" i="20"/>
  <c r="ES93" i="20"/>
  <c r="ET93" i="20"/>
  <c r="EU93" i="20"/>
  <c r="EV93" i="20"/>
  <c r="EW93" i="20"/>
  <c r="EX93" i="20"/>
  <c r="EY93" i="20"/>
  <c r="EZ93" i="20"/>
  <c r="FA93" i="20"/>
  <c r="FB93" i="20"/>
  <c r="FC93" i="20"/>
  <c r="FD93" i="20"/>
  <c r="FE93" i="20"/>
  <c r="FF93" i="20"/>
  <c r="FG93" i="20"/>
  <c r="FH93" i="20"/>
  <c r="FI93" i="20"/>
  <c r="FJ93" i="20"/>
  <c r="FK93" i="20"/>
  <c r="FL93" i="20"/>
  <c r="FM93" i="20"/>
  <c r="FN93" i="20"/>
  <c r="FO93" i="20"/>
  <c r="FP93" i="20"/>
  <c r="FQ93" i="20"/>
  <c r="FR93" i="20"/>
  <c r="FS93" i="20"/>
  <c r="FT93" i="20"/>
  <c r="FU93" i="20"/>
  <c r="FV93" i="20"/>
  <c r="FW93" i="20"/>
  <c r="FX93" i="20"/>
  <c r="FY93" i="20"/>
  <c r="FZ93" i="20"/>
  <c r="GA93" i="20"/>
  <c r="GB93" i="20"/>
  <c r="GC93" i="20"/>
  <c r="GD93" i="20"/>
  <c r="GE93" i="20"/>
  <c r="GF93" i="20"/>
  <c r="GG93" i="20"/>
  <c r="GH93" i="20"/>
  <c r="GI93" i="20"/>
  <c r="GJ93" i="20"/>
  <c r="GK93" i="20"/>
  <c r="GL93" i="20"/>
  <c r="GM93" i="20"/>
  <c r="GN93" i="20"/>
  <c r="GO93" i="20"/>
  <c r="GP93" i="20"/>
  <c r="GQ93" i="20"/>
  <c r="GR93" i="20"/>
  <c r="GS93" i="20"/>
  <c r="GT93" i="20"/>
  <c r="GU93" i="20"/>
  <c r="GV93" i="20"/>
  <c r="GW93" i="20"/>
  <c r="GX93" i="20"/>
  <c r="GY93" i="20"/>
  <c r="GZ93" i="20"/>
  <c r="HA93" i="20"/>
  <c r="HB93" i="20"/>
  <c r="HC93" i="20"/>
  <c r="HD93" i="20"/>
  <c r="HE93" i="20"/>
  <c r="HF93" i="20"/>
  <c r="HG93" i="20"/>
  <c r="HH93" i="20"/>
  <c r="HI93" i="20"/>
  <c r="HJ93" i="20"/>
  <c r="HK93" i="20"/>
  <c r="HL93" i="20"/>
  <c r="HM93" i="20"/>
  <c r="HN93" i="20"/>
  <c r="HO93" i="20"/>
  <c r="HP93" i="20"/>
  <c r="HQ93" i="20"/>
  <c r="HR93" i="20"/>
  <c r="HS93" i="20"/>
  <c r="HT93" i="20"/>
  <c r="HU93" i="20"/>
  <c r="HV93" i="20"/>
  <c r="HW93" i="20"/>
  <c r="HX93" i="20"/>
  <c r="HY93" i="20"/>
  <c r="HZ93" i="20"/>
  <c r="IA93" i="20"/>
  <c r="IB93" i="20"/>
  <c r="IC93" i="20"/>
  <c r="ID93" i="20"/>
  <c r="IE93" i="20"/>
  <c r="IF93" i="20"/>
  <c r="IG93" i="20"/>
  <c r="IH93" i="20"/>
  <c r="II93" i="20"/>
  <c r="IJ93" i="20"/>
  <c r="IK93" i="20"/>
  <c r="IL93" i="20"/>
  <c r="IM93" i="20"/>
  <c r="IN93" i="20"/>
  <c r="IO93" i="20"/>
  <c r="IP93" i="20"/>
  <c r="IQ93" i="20"/>
  <c r="IR93" i="20"/>
  <c r="IS93" i="20"/>
  <c r="IT93" i="20"/>
  <c r="IU93" i="20"/>
  <c r="IV93" i="20"/>
  <c r="A92" i="20"/>
  <c r="B92" i="20"/>
  <c r="C92" i="20"/>
  <c r="D92" i="20"/>
  <c r="E92" i="20"/>
  <c r="F92" i="20"/>
  <c r="G92" i="20"/>
  <c r="H92" i="20"/>
  <c r="I92" i="20"/>
  <c r="J92" i="20"/>
  <c r="K92" i="20"/>
  <c r="L92" i="20"/>
  <c r="M92" i="20"/>
  <c r="N92" i="20"/>
  <c r="O92" i="20"/>
  <c r="P92" i="20"/>
  <c r="Q92" i="20"/>
  <c r="R92" i="20"/>
  <c r="S92" i="20"/>
  <c r="T92" i="20"/>
  <c r="U92" i="20"/>
  <c r="V92" i="20"/>
  <c r="W92" i="20"/>
  <c r="X92" i="20"/>
  <c r="Y92" i="20"/>
  <c r="Z92" i="20"/>
  <c r="AA92" i="20"/>
  <c r="AB92" i="20"/>
  <c r="AC92" i="20"/>
  <c r="AD92" i="20"/>
  <c r="AE92" i="20"/>
  <c r="AF92" i="20"/>
  <c r="AG92" i="20"/>
  <c r="AH92" i="20"/>
  <c r="AI92" i="20"/>
  <c r="AJ92" i="20"/>
  <c r="AK92" i="20"/>
  <c r="AL92" i="20"/>
  <c r="AM92" i="20"/>
  <c r="AN92" i="20"/>
  <c r="AO92" i="20"/>
  <c r="AP92" i="20"/>
  <c r="AQ92" i="20"/>
  <c r="AR92" i="20"/>
  <c r="AS92" i="20"/>
  <c r="AT92" i="20"/>
  <c r="AU92" i="20"/>
  <c r="AV92" i="20"/>
  <c r="AW92" i="20"/>
  <c r="AX92" i="20"/>
  <c r="AY92" i="20"/>
  <c r="AZ92" i="20"/>
  <c r="BA92" i="20"/>
  <c r="BB92" i="20"/>
  <c r="BC92" i="20"/>
  <c r="BD92" i="20"/>
  <c r="BE92" i="20"/>
  <c r="BF92" i="20"/>
  <c r="BG92" i="20"/>
  <c r="BH92" i="20"/>
  <c r="BI92" i="20"/>
  <c r="BJ92" i="20"/>
  <c r="BK92" i="20"/>
  <c r="BL92" i="20"/>
  <c r="BM92" i="20"/>
  <c r="BN92" i="20"/>
  <c r="BO92" i="20"/>
  <c r="BP92" i="20"/>
  <c r="BQ92" i="20"/>
  <c r="BR92" i="20"/>
  <c r="BS92" i="20"/>
  <c r="BT92" i="20"/>
  <c r="BU92" i="20"/>
  <c r="BV92" i="20"/>
  <c r="BW92" i="20"/>
  <c r="BX92" i="20"/>
  <c r="BY92" i="20"/>
  <c r="BZ92" i="20"/>
  <c r="CA92" i="20"/>
  <c r="CB92" i="20"/>
  <c r="CC92" i="20"/>
  <c r="CD92" i="20"/>
  <c r="CE92" i="20"/>
  <c r="CF92" i="20"/>
  <c r="CG92" i="20"/>
  <c r="CH92" i="20"/>
  <c r="CI92" i="20"/>
  <c r="CJ92" i="20"/>
  <c r="CK92" i="20"/>
  <c r="CL92" i="20"/>
  <c r="CM92" i="20"/>
  <c r="CN92" i="20"/>
  <c r="CO92" i="20"/>
  <c r="CP92" i="20"/>
  <c r="CQ92" i="20"/>
  <c r="CR92" i="20"/>
  <c r="CS92" i="20"/>
  <c r="CT92" i="20"/>
  <c r="CU92" i="20"/>
  <c r="CV92" i="20"/>
  <c r="CW92" i="20"/>
  <c r="CX92" i="20"/>
  <c r="CY92" i="20"/>
  <c r="CZ92" i="20"/>
  <c r="DA92" i="20"/>
  <c r="DB92" i="20"/>
  <c r="DC92" i="20"/>
  <c r="DD92" i="20"/>
  <c r="DE92" i="20"/>
  <c r="DF92" i="20"/>
  <c r="DG92" i="20"/>
  <c r="DH92" i="20"/>
  <c r="DI92" i="20"/>
  <c r="DJ92" i="20"/>
  <c r="DK92" i="20"/>
  <c r="DL92" i="20"/>
  <c r="DM92" i="20"/>
  <c r="DN92" i="20"/>
  <c r="DO92" i="20"/>
  <c r="DP92" i="20"/>
  <c r="DQ92" i="20"/>
  <c r="DR92" i="20"/>
  <c r="DS92" i="20"/>
  <c r="DT92" i="20"/>
  <c r="DU92" i="20"/>
  <c r="DV92" i="20"/>
  <c r="DW92" i="20"/>
  <c r="DX92" i="20"/>
  <c r="DY92" i="20"/>
  <c r="DZ92" i="20"/>
  <c r="EA92" i="20"/>
  <c r="EB92" i="20"/>
  <c r="EC92" i="20"/>
  <c r="ED92" i="20"/>
  <c r="EE92" i="20"/>
  <c r="EF92" i="20"/>
  <c r="EG92" i="20"/>
  <c r="EH92" i="20"/>
  <c r="EI92" i="20"/>
  <c r="EJ92" i="20"/>
  <c r="EK92" i="20"/>
  <c r="EL92" i="20"/>
  <c r="EM92" i="20"/>
  <c r="EN92" i="20"/>
  <c r="EO92" i="20"/>
  <c r="EP92" i="20"/>
  <c r="EQ92" i="20"/>
  <c r="ER92" i="20"/>
  <c r="ES92" i="20"/>
  <c r="ET92" i="20"/>
  <c r="EU92" i="20"/>
  <c r="EV92" i="20"/>
  <c r="EW92" i="20"/>
  <c r="EX92" i="20"/>
  <c r="EY92" i="20"/>
  <c r="EZ92" i="20"/>
  <c r="FA92" i="20"/>
  <c r="FB92" i="20"/>
  <c r="FC92" i="20"/>
  <c r="FD92" i="20"/>
  <c r="FE92" i="20"/>
  <c r="FF92" i="20"/>
  <c r="FG92" i="20"/>
  <c r="FH92" i="20"/>
  <c r="FI92" i="20"/>
  <c r="FJ92" i="20"/>
  <c r="FK92" i="20"/>
  <c r="FL92" i="20"/>
  <c r="FM92" i="20"/>
  <c r="FN92" i="20"/>
  <c r="FO92" i="20"/>
  <c r="FP92" i="20"/>
  <c r="FQ92" i="20"/>
  <c r="FR92" i="20"/>
  <c r="FS92" i="20"/>
  <c r="FT92" i="20"/>
  <c r="FU92" i="20"/>
  <c r="FV92" i="20"/>
  <c r="FW92" i="20"/>
  <c r="FX92" i="20"/>
  <c r="FY92" i="20"/>
  <c r="FZ92" i="20"/>
  <c r="GA92" i="20"/>
  <c r="GB92" i="20"/>
  <c r="GC92" i="20"/>
  <c r="GD92" i="20"/>
  <c r="GE92" i="20"/>
  <c r="GF92" i="20"/>
  <c r="GG92" i="20"/>
  <c r="GH92" i="20"/>
  <c r="GI92" i="20"/>
  <c r="GJ92" i="20"/>
  <c r="GK92" i="20"/>
  <c r="GL92" i="20"/>
  <c r="GM92" i="20"/>
  <c r="GN92" i="20"/>
  <c r="GO92" i="20"/>
  <c r="GP92" i="20"/>
  <c r="GQ92" i="20"/>
  <c r="GR92" i="20"/>
  <c r="GS92" i="20"/>
  <c r="GT92" i="20"/>
  <c r="GU92" i="20"/>
  <c r="GV92" i="20"/>
  <c r="GW92" i="20"/>
  <c r="GX92" i="20"/>
  <c r="GY92" i="20"/>
  <c r="GZ92" i="20"/>
  <c r="HA92" i="20"/>
  <c r="HB92" i="20"/>
  <c r="HC92" i="20"/>
  <c r="HD92" i="20"/>
  <c r="HE92" i="20"/>
  <c r="HF92" i="20"/>
  <c r="HG92" i="20"/>
  <c r="HH92" i="20"/>
  <c r="HI92" i="20"/>
  <c r="HJ92" i="20"/>
  <c r="HK92" i="20"/>
  <c r="HL92" i="20"/>
  <c r="HM92" i="20"/>
  <c r="HN92" i="20"/>
  <c r="HO92" i="20"/>
  <c r="HP92" i="20"/>
  <c r="HQ92" i="20"/>
  <c r="HR92" i="20"/>
  <c r="HS92" i="20"/>
  <c r="HT92" i="20"/>
  <c r="HU92" i="20"/>
  <c r="HV92" i="20"/>
  <c r="HW92" i="20"/>
  <c r="HX92" i="20"/>
  <c r="HY92" i="20"/>
  <c r="HZ92" i="20"/>
  <c r="IA92" i="20"/>
  <c r="IB92" i="20"/>
  <c r="IC92" i="20"/>
  <c r="ID92" i="20"/>
  <c r="IE92" i="20"/>
  <c r="IF92" i="20"/>
  <c r="IG92" i="20"/>
  <c r="IH92" i="20"/>
  <c r="II92" i="20"/>
  <c r="IJ92" i="20"/>
  <c r="IK92" i="20"/>
  <c r="IL92" i="20"/>
  <c r="IM92" i="20"/>
  <c r="IN92" i="20"/>
  <c r="IO92" i="20"/>
  <c r="IP92" i="20"/>
  <c r="IQ92" i="20"/>
  <c r="IR92" i="20"/>
  <c r="IS92" i="20"/>
  <c r="IT92" i="20"/>
  <c r="IU92" i="20"/>
  <c r="IV92" i="20"/>
  <c r="A91" i="20"/>
  <c r="B91" i="20"/>
  <c r="C91" i="20"/>
  <c r="D91" i="20"/>
  <c r="E91" i="20"/>
  <c r="F91" i="20"/>
  <c r="G91" i="20"/>
  <c r="H91" i="20"/>
  <c r="I91" i="20"/>
  <c r="J91" i="20"/>
  <c r="K91" i="20"/>
  <c r="L91" i="20"/>
  <c r="M91" i="20"/>
  <c r="N91" i="20"/>
  <c r="O91" i="20"/>
  <c r="P91" i="20"/>
  <c r="Q91" i="20"/>
  <c r="R91" i="20"/>
  <c r="S91" i="20"/>
  <c r="T91" i="20"/>
  <c r="U91" i="20"/>
  <c r="V91" i="20"/>
  <c r="W91" i="20"/>
  <c r="X91" i="20"/>
  <c r="Y91" i="20"/>
  <c r="Z91" i="20"/>
  <c r="AA91" i="20"/>
  <c r="AB91" i="20"/>
  <c r="AC91" i="20"/>
  <c r="AD91" i="20"/>
  <c r="AE91" i="20"/>
  <c r="AF91" i="20"/>
  <c r="AG91" i="20"/>
  <c r="AH91" i="20"/>
  <c r="AI91" i="20"/>
  <c r="AJ91" i="20"/>
  <c r="AK91" i="20"/>
  <c r="AL91" i="20"/>
  <c r="AM91" i="20"/>
  <c r="AN91" i="20"/>
  <c r="AO91" i="20"/>
  <c r="AP91" i="20"/>
  <c r="AQ91" i="20"/>
  <c r="AR91" i="20"/>
  <c r="AS91" i="20"/>
  <c r="AT91" i="20"/>
  <c r="AU91" i="20"/>
  <c r="AV91" i="20"/>
  <c r="AW91" i="20"/>
  <c r="AX91" i="20"/>
  <c r="AY91" i="20"/>
  <c r="AZ91" i="20"/>
  <c r="BA91" i="20"/>
  <c r="BB91" i="20"/>
  <c r="BC91" i="20"/>
  <c r="BD91" i="20"/>
  <c r="BE91" i="20"/>
  <c r="BF91" i="20"/>
  <c r="BG91" i="20"/>
  <c r="BH91" i="20"/>
  <c r="BI91" i="20"/>
  <c r="BJ91" i="20"/>
  <c r="BK91" i="20"/>
  <c r="BL91" i="20"/>
  <c r="BM91" i="20"/>
  <c r="BN91" i="20"/>
  <c r="BO91" i="20"/>
  <c r="BP91" i="20"/>
  <c r="BQ91" i="20"/>
  <c r="BR91" i="20"/>
  <c r="BS91" i="20"/>
  <c r="BT91" i="20"/>
  <c r="BU91" i="20"/>
  <c r="BV91" i="20"/>
  <c r="BW91" i="20"/>
  <c r="BX91" i="20"/>
  <c r="BY91" i="20"/>
  <c r="BZ91" i="20"/>
  <c r="CA91" i="20"/>
  <c r="CB91" i="20"/>
  <c r="CC91" i="20"/>
  <c r="CD91" i="20"/>
  <c r="CE91" i="20"/>
  <c r="CF91" i="20"/>
  <c r="CG91" i="20"/>
  <c r="CH91" i="20"/>
  <c r="CI91" i="20"/>
  <c r="CJ91" i="20"/>
  <c r="CK91" i="20"/>
  <c r="CL91" i="20"/>
  <c r="CM91" i="20"/>
  <c r="CN91" i="20"/>
  <c r="CO91" i="20"/>
  <c r="CP91" i="20"/>
  <c r="CQ91" i="20"/>
  <c r="CR91" i="20"/>
  <c r="CS91" i="20"/>
  <c r="CT91" i="20"/>
  <c r="CU91" i="20"/>
  <c r="CV91" i="20"/>
  <c r="CW91" i="20"/>
  <c r="CX91" i="20"/>
  <c r="CY91" i="20"/>
  <c r="CZ91" i="20"/>
  <c r="DA91" i="20"/>
  <c r="DB91" i="20"/>
  <c r="DC91" i="20"/>
  <c r="DD91" i="20"/>
  <c r="DE91" i="20"/>
  <c r="DF91" i="20"/>
  <c r="DG91" i="20"/>
  <c r="DH91" i="20"/>
  <c r="DI91" i="20"/>
  <c r="DJ91" i="20"/>
  <c r="DK91" i="20"/>
  <c r="DL91" i="20"/>
  <c r="DM91" i="20"/>
  <c r="DN91" i="20"/>
  <c r="DO91" i="20"/>
  <c r="DP91" i="20"/>
  <c r="DQ91" i="20"/>
  <c r="DR91" i="20"/>
  <c r="DS91" i="20"/>
  <c r="DT91" i="20"/>
  <c r="DU91" i="20"/>
  <c r="DV91" i="20"/>
  <c r="DW91" i="20"/>
  <c r="DX91" i="20"/>
  <c r="DY91" i="20"/>
  <c r="DZ91" i="20"/>
  <c r="EA91" i="20"/>
  <c r="EB91" i="20"/>
  <c r="EC91" i="20"/>
  <c r="ED91" i="20"/>
  <c r="EE91" i="20"/>
  <c r="EF91" i="20"/>
  <c r="EG91" i="20"/>
  <c r="EH91" i="20"/>
  <c r="EI91" i="20"/>
  <c r="EJ91" i="20"/>
  <c r="EK91" i="20"/>
  <c r="EL91" i="20"/>
  <c r="EM91" i="20"/>
  <c r="EN91" i="20"/>
  <c r="EO91" i="20"/>
  <c r="EP91" i="20"/>
  <c r="EQ91" i="20"/>
  <c r="ER91" i="20"/>
  <c r="ES91" i="20"/>
  <c r="ET91" i="20"/>
  <c r="EU91" i="20"/>
  <c r="EV91" i="20"/>
  <c r="EW91" i="20"/>
  <c r="EX91" i="20"/>
  <c r="EY91" i="20"/>
  <c r="EZ91" i="20"/>
  <c r="FA91" i="20"/>
  <c r="FB91" i="20"/>
  <c r="FC91" i="20"/>
  <c r="FD91" i="20"/>
  <c r="FE91" i="20"/>
  <c r="FF91" i="20"/>
  <c r="FG91" i="20"/>
  <c r="FH91" i="20"/>
  <c r="FI91" i="20"/>
  <c r="FJ91" i="20"/>
  <c r="FK91" i="20"/>
  <c r="FL91" i="20"/>
  <c r="FM91" i="20"/>
  <c r="FN91" i="20"/>
  <c r="FO91" i="20"/>
  <c r="FP91" i="20"/>
  <c r="FQ91" i="20"/>
  <c r="FR91" i="20"/>
  <c r="FS91" i="20"/>
  <c r="FT91" i="20"/>
  <c r="FU91" i="20"/>
  <c r="FV91" i="20"/>
  <c r="FW91" i="20"/>
  <c r="FX91" i="20"/>
  <c r="FY91" i="20"/>
  <c r="FZ91" i="20"/>
  <c r="GA91" i="20"/>
  <c r="GB91" i="20"/>
  <c r="GC91" i="20"/>
  <c r="GD91" i="20"/>
  <c r="GE91" i="20"/>
  <c r="GF91" i="20"/>
  <c r="GG91" i="20"/>
  <c r="GH91" i="20"/>
  <c r="GI91" i="20"/>
  <c r="GJ91" i="20"/>
  <c r="GK91" i="20"/>
  <c r="GL91" i="20"/>
  <c r="GM91" i="20"/>
  <c r="GN91" i="20"/>
  <c r="GO91" i="20"/>
  <c r="GP91" i="20"/>
  <c r="GQ91" i="20"/>
  <c r="GR91" i="20"/>
  <c r="GS91" i="20"/>
  <c r="GT91" i="20"/>
  <c r="GU91" i="20"/>
  <c r="GV91" i="20"/>
  <c r="GW91" i="20"/>
  <c r="GX91" i="20"/>
  <c r="GY91" i="20"/>
  <c r="GZ91" i="20"/>
  <c r="HA91" i="20"/>
  <c r="HB91" i="20"/>
  <c r="HC91" i="20"/>
  <c r="HD91" i="20"/>
  <c r="HE91" i="20"/>
  <c r="HF91" i="20"/>
  <c r="HG91" i="20"/>
  <c r="HH91" i="20"/>
  <c r="HI91" i="20"/>
  <c r="HJ91" i="20"/>
  <c r="HK91" i="20"/>
  <c r="HL91" i="20"/>
  <c r="HM91" i="20"/>
  <c r="HN91" i="20"/>
  <c r="HO91" i="20"/>
  <c r="HP91" i="20"/>
  <c r="HQ91" i="20"/>
  <c r="HR91" i="20"/>
  <c r="HS91" i="20"/>
  <c r="HT91" i="20"/>
  <c r="HU91" i="20"/>
  <c r="HV91" i="20"/>
  <c r="HW91" i="20"/>
  <c r="HX91" i="20"/>
  <c r="HY91" i="20"/>
  <c r="HZ91" i="20"/>
  <c r="IA91" i="20"/>
  <c r="IB91" i="20"/>
  <c r="IC91" i="20"/>
  <c r="ID91" i="20"/>
  <c r="IE91" i="20"/>
  <c r="IF91" i="20"/>
  <c r="IG91" i="20"/>
  <c r="IH91" i="20"/>
  <c r="II91" i="20"/>
  <c r="IJ91" i="20"/>
  <c r="IK91" i="20"/>
  <c r="IL91" i="20"/>
  <c r="IM91" i="20"/>
  <c r="IN91" i="20"/>
  <c r="IO91" i="20"/>
  <c r="IP91" i="20"/>
  <c r="IQ91" i="20"/>
  <c r="IR91" i="20"/>
  <c r="IS91" i="20"/>
  <c r="IT91" i="20"/>
  <c r="IU91" i="20"/>
  <c r="IV91" i="20"/>
  <c r="A90" i="20"/>
  <c r="B90" i="20"/>
  <c r="C90" i="20"/>
  <c r="D90" i="20"/>
  <c r="E90" i="20"/>
  <c r="F90" i="20"/>
  <c r="G90" i="20"/>
  <c r="H90" i="20"/>
  <c r="I90" i="20"/>
  <c r="J90" i="20"/>
  <c r="K90" i="20"/>
  <c r="L90" i="20"/>
  <c r="M90" i="20"/>
  <c r="N90" i="20"/>
  <c r="O90" i="20"/>
  <c r="P90" i="20"/>
  <c r="Q90" i="20"/>
  <c r="R90" i="20"/>
  <c r="S90" i="20"/>
  <c r="T90" i="20"/>
  <c r="U90" i="20"/>
  <c r="V90" i="20"/>
  <c r="W90" i="20"/>
  <c r="X90" i="20"/>
  <c r="Y90" i="20"/>
  <c r="Z90" i="20"/>
  <c r="AA90" i="20"/>
  <c r="AB90" i="20"/>
  <c r="AC90" i="20"/>
  <c r="AD90" i="20"/>
  <c r="AE90" i="20"/>
  <c r="AF90" i="20"/>
  <c r="AG90" i="20"/>
  <c r="AH90" i="20"/>
  <c r="AI90" i="20"/>
  <c r="AJ90" i="20"/>
  <c r="AK90" i="20"/>
  <c r="AL90" i="20"/>
  <c r="AM90" i="20"/>
  <c r="AN90" i="20"/>
  <c r="AO90" i="20"/>
  <c r="AP90" i="20"/>
  <c r="AQ90" i="20"/>
  <c r="AR90" i="20"/>
  <c r="AS90" i="20"/>
  <c r="AT90" i="20"/>
  <c r="AU90" i="20"/>
  <c r="AV90" i="20"/>
  <c r="AW90" i="20"/>
  <c r="AX90" i="20"/>
  <c r="AY90" i="20"/>
  <c r="AZ90" i="20"/>
  <c r="BA90" i="20"/>
  <c r="BB90" i="20"/>
  <c r="BC90" i="20"/>
  <c r="BD90" i="20"/>
  <c r="BE90" i="20"/>
  <c r="BF90" i="20"/>
  <c r="BG90" i="20"/>
  <c r="BH90" i="20"/>
  <c r="BI90" i="20"/>
  <c r="BJ90" i="20"/>
  <c r="BK90" i="20"/>
  <c r="BL90" i="20"/>
  <c r="BM90" i="20"/>
  <c r="BN90" i="20"/>
  <c r="BO90" i="20"/>
  <c r="BP90" i="20"/>
  <c r="BQ90" i="20"/>
  <c r="BR90" i="20"/>
  <c r="BS90" i="20"/>
  <c r="BT90" i="20"/>
  <c r="BU90" i="20"/>
  <c r="BV90" i="20"/>
  <c r="BW90" i="20"/>
  <c r="BX90" i="20"/>
  <c r="BY90" i="20"/>
  <c r="BZ90" i="20"/>
  <c r="CA90" i="20"/>
  <c r="CB90" i="20"/>
  <c r="CC90" i="20"/>
  <c r="CD90" i="20"/>
  <c r="CE90" i="20"/>
  <c r="CF90" i="20"/>
  <c r="CG90" i="20"/>
  <c r="CH90" i="20"/>
  <c r="CI90" i="20"/>
  <c r="CJ90" i="20"/>
  <c r="CK90" i="20"/>
  <c r="CL90" i="20"/>
  <c r="CM90" i="20"/>
  <c r="CN90" i="20"/>
  <c r="CO90" i="20"/>
  <c r="CP90" i="20"/>
  <c r="CQ90" i="20"/>
  <c r="CR90" i="20"/>
  <c r="CS90" i="20"/>
  <c r="CT90" i="20"/>
  <c r="CU90" i="20"/>
  <c r="CV90" i="20"/>
  <c r="CW90" i="20"/>
  <c r="CX90" i="20"/>
  <c r="CY90" i="20"/>
  <c r="CZ90" i="20"/>
  <c r="DA90" i="20"/>
  <c r="DB90" i="20"/>
  <c r="DC90" i="20"/>
  <c r="DD90" i="20"/>
  <c r="DE90" i="20"/>
  <c r="DF90" i="20"/>
  <c r="DG90" i="20"/>
  <c r="DH90" i="20"/>
  <c r="DI90" i="20"/>
  <c r="DJ90" i="20"/>
  <c r="DK90" i="20"/>
  <c r="DL90" i="20"/>
  <c r="DM90" i="20"/>
  <c r="DN90" i="20"/>
  <c r="DO90" i="20"/>
  <c r="DP90" i="20"/>
  <c r="DQ90" i="20"/>
  <c r="DR90" i="20"/>
  <c r="DS90" i="20"/>
  <c r="DT90" i="20"/>
  <c r="DU90" i="20"/>
  <c r="DV90" i="20"/>
  <c r="DW90" i="20"/>
  <c r="DX90" i="20"/>
  <c r="DY90" i="20"/>
  <c r="DZ90" i="20"/>
  <c r="EA90" i="20"/>
  <c r="EB90" i="20"/>
  <c r="EC90" i="20"/>
  <c r="ED90" i="20"/>
  <c r="EE90" i="20"/>
  <c r="EF90" i="20"/>
  <c r="EG90" i="20"/>
  <c r="EH90" i="20"/>
  <c r="EI90" i="20"/>
  <c r="EJ90" i="20"/>
  <c r="EK90" i="20"/>
  <c r="EL90" i="20"/>
  <c r="EM90" i="20"/>
  <c r="EN90" i="20"/>
  <c r="EO90" i="20"/>
  <c r="EP90" i="20"/>
  <c r="EQ90" i="20"/>
  <c r="ER90" i="20"/>
  <c r="ES90" i="20"/>
  <c r="ET90" i="20"/>
  <c r="EU90" i="20"/>
  <c r="EV90" i="20"/>
  <c r="EW90" i="20"/>
  <c r="EX90" i="20"/>
  <c r="EY90" i="20"/>
  <c r="EZ90" i="20"/>
  <c r="FA90" i="20"/>
  <c r="FB90" i="20"/>
  <c r="FC90" i="20"/>
  <c r="FD90" i="20"/>
  <c r="FE90" i="20"/>
  <c r="FF90" i="20"/>
  <c r="FG90" i="20"/>
  <c r="FH90" i="20"/>
  <c r="FI90" i="20"/>
  <c r="FJ90" i="20"/>
  <c r="FK90" i="20"/>
  <c r="FL90" i="20"/>
  <c r="FM90" i="20"/>
  <c r="FN90" i="20"/>
  <c r="FO90" i="20"/>
  <c r="FP90" i="20"/>
  <c r="FQ90" i="20"/>
  <c r="FR90" i="20"/>
  <c r="FS90" i="20"/>
  <c r="FT90" i="20"/>
  <c r="FU90" i="20"/>
  <c r="FV90" i="20"/>
  <c r="FW90" i="20"/>
  <c r="FX90" i="20"/>
  <c r="FY90" i="20"/>
  <c r="FZ90" i="20"/>
  <c r="GA90" i="20"/>
  <c r="GB90" i="20"/>
  <c r="GC90" i="20"/>
  <c r="GD90" i="20"/>
  <c r="GE90" i="20"/>
  <c r="GF90" i="20"/>
  <c r="GG90" i="20"/>
  <c r="GH90" i="20"/>
  <c r="GI90" i="20"/>
  <c r="GJ90" i="20"/>
  <c r="GK90" i="20"/>
  <c r="GL90" i="20"/>
  <c r="GM90" i="20"/>
  <c r="GN90" i="20"/>
  <c r="GO90" i="20"/>
  <c r="GP90" i="20"/>
  <c r="GQ90" i="20"/>
  <c r="GR90" i="20"/>
  <c r="GS90" i="20"/>
  <c r="GT90" i="20"/>
  <c r="GU90" i="20"/>
  <c r="GV90" i="20"/>
  <c r="GW90" i="20"/>
  <c r="GX90" i="20"/>
  <c r="GY90" i="20"/>
  <c r="GZ90" i="20"/>
  <c r="HA90" i="20"/>
  <c r="HB90" i="20"/>
  <c r="HC90" i="20"/>
  <c r="HD90" i="20"/>
  <c r="HE90" i="20"/>
  <c r="HF90" i="20"/>
  <c r="HG90" i="20"/>
  <c r="HH90" i="20"/>
  <c r="HI90" i="20"/>
  <c r="HJ90" i="20"/>
  <c r="HK90" i="20"/>
  <c r="HL90" i="20"/>
  <c r="HM90" i="20"/>
  <c r="HN90" i="20"/>
  <c r="HO90" i="20"/>
  <c r="HP90" i="20"/>
  <c r="HQ90" i="20"/>
  <c r="HR90" i="20"/>
  <c r="HS90" i="20"/>
  <c r="HT90" i="20"/>
  <c r="HU90" i="20"/>
  <c r="HV90" i="20"/>
  <c r="HW90" i="20"/>
  <c r="HX90" i="20"/>
  <c r="HY90" i="20"/>
  <c r="HZ90" i="20"/>
  <c r="IA90" i="20"/>
  <c r="IB90" i="20"/>
  <c r="IC90" i="20"/>
  <c r="ID90" i="20"/>
  <c r="IE90" i="20"/>
  <c r="IF90" i="20"/>
  <c r="IG90" i="20"/>
  <c r="IH90" i="20"/>
  <c r="II90" i="20"/>
  <c r="IJ90" i="20"/>
  <c r="IK90" i="20"/>
  <c r="IL90" i="20"/>
  <c r="IM90" i="20"/>
  <c r="IN90" i="20"/>
  <c r="IO90" i="20"/>
  <c r="IP90" i="20"/>
  <c r="IQ90" i="20"/>
  <c r="IR90" i="20"/>
  <c r="IS90" i="20"/>
  <c r="IT90" i="20"/>
  <c r="IU90" i="20"/>
  <c r="IV90" i="20"/>
  <c r="A89" i="20"/>
  <c r="B89" i="20"/>
  <c r="C89" i="20"/>
  <c r="D89" i="20"/>
  <c r="E89" i="20"/>
  <c r="F89" i="20"/>
  <c r="G89" i="20"/>
  <c r="H89" i="20"/>
  <c r="I89" i="20"/>
  <c r="J89" i="20"/>
  <c r="K89" i="20"/>
  <c r="L89" i="20"/>
  <c r="M89" i="20"/>
  <c r="N89" i="20"/>
  <c r="O89" i="20"/>
  <c r="P89" i="20"/>
  <c r="Q89" i="20"/>
  <c r="R89" i="20"/>
  <c r="S89" i="20"/>
  <c r="T89" i="20"/>
  <c r="U89" i="20"/>
  <c r="V89" i="20"/>
  <c r="W89" i="20"/>
  <c r="X89" i="20"/>
  <c r="Y89" i="20"/>
  <c r="Z89" i="20"/>
  <c r="AA89" i="20"/>
  <c r="AB89" i="20"/>
  <c r="AC89" i="20"/>
  <c r="AD89" i="20"/>
  <c r="AE89" i="20"/>
  <c r="AF89" i="20"/>
  <c r="AG89" i="20"/>
  <c r="AH89" i="20"/>
  <c r="AI89" i="20"/>
  <c r="AJ89" i="20"/>
  <c r="AK89" i="20"/>
  <c r="AL89" i="20"/>
  <c r="AM89" i="20"/>
  <c r="AN89" i="20"/>
  <c r="AO89" i="20"/>
  <c r="AP89" i="20"/>
  <c r="AQ89" i="20"/>
  <c r="AR89" i="20"/>
  <c r="AS89" i="20"/>
  <c r="AT89" i="20"/>
  <c r="AU89" i="20"/>
  <c r="AV89" i="20"/>
  <c r="AW89" i="20"/>
  <c r="AX89" i="20"/>
  <c r="AY89" i="20"/>
  <c r="AZ89" i="20"/>
  <c r="BA89" i="20"/>
  <c r="BB89" i="20"/>
  <c r="BC89" i="20"/>
  <c r="BD89" i="20"/>
  <c r="BE89" i="20"/>
  <c r="BF89" i="20"/>
  <c r="BG89" i="20"/>
  <c r="BH89" i="20"/>
  <c r="BI89" i="20"/>
  <c r="BJ89" i="20"/>
  <c r="BK89" i="20"/>
  <c r="BL89" i="20"/>
  <c r="BM89" i="20"/>
  <c r="BN89" i="20"/>
  <c r="BO89" i="20"/>
  <c r="BP89" i="20"/>
  <c r="BQ89" i="20"/>
  <c r="BR89" i="20"/>
  <c r="BS89" i="20"/>
  <c r="BT89" i="20"/>
  <c r="BU89" i="20"/>
  <c r="BV89" i="20"/>
  <c r="BW89" i="20"/>
  <c r="BX89" i="20"/>
  <c r="BY89" i="20"/>
  <c r="BZ89" i="20"/>
  <c r="CA89" i="20"/>
  <c r="CB89" i="20"/>
  <c r="CC89" i="20"/>
  <c r="CD89" i="20"/>
  <c r="CE89" i="20"/>
  <c r="CF89" i="20"/>
  <c r="CG89" i="20"/>
  <c r="CH89" i="20"/>
  <c r="CI89" i="20"/>
  <c r="CJ89" i="20"/>
  <c r="CK89" i="20"/>
  <c r="CL89" i="20"/>
  <c r="CM89" i="20"/>
  <c r="CN89" i="20"/>
  <c r="CO89" i="20"/>
  <c r="CP89" i="20"/>
  <c r="CQ89" i="20"/>
  <c r="CR89" i="20"/>
  <c r="CS89" i="20"/>
  <c r="CT89" i="20"/>
  <c r="CU89" i="20"/>
  <c r="CV89" i="20"/>
  <c r="CW89" i="20"/>
  <c r="CX89" i="20"/>
  <c r="CY89" i="20"/>
  <c r="CZ89" i="20"/>
  <c r="DA89" i="20"/>
  <c r="DB89" i="20"/>
  <c r="DC89" i="20"/>
  <c r="DD89" i="20"/>
  <c r="DE89" i="20"/>
  <c r="DF89" i="20"/>
  <c r="DG89" i="20"/>
  <c r="DH89" i="20"/>
  <c r="DI89" i="20"/>
  <c r="DJ89" i="20"/>
  <c r="DK89" i="20"/>
  <c r="DL89" i="20"/>
  <c r="DM89" i="20"/>
  <c r="DN89" i="20"/>
  <c r="DO89" i="20"/>
  <c r="DP89" i="20"/>
  <c r="DQ89" i="20"/>
  <c r="DR89" i="20"/>
  <c r="DS89" i="20"/>
  <c r="DT89" i="20"/>
  <c r="DU89" i="20"/>
  <c r="DV89" i="20"/>
  <c r="DW89" i="20"/>
  <c r="DX89" i="20"/>
  <c r="DY89" i="20"/>
  <c r="DZ89" i="20"/>
  <c r="EA89" i="20"/>
  <c r="EB89" i="20"/>
  <c r="EC89" i="20"/>
  <c r="ED89" i="20"/>
  <c r="EE89" i="20"/>
  <c r="EF89" i="20"/>
  <c r="EG89" i="20"/>
  <c r="EH89" i="20"/>
  <c r="EI89" i="20"/>
  <c r="EJ89" i="20"/>
  <c r="EK89" i="20"/>
  <c r="EL89" i="20"/>
  <c r="EM89" i="20"/>
  <c r="EN89" i="20"/>
  <c r="EO89" i="20"/>
  <c r="EP89" i="20"/>
  <c r="EQ89" i="20"/>
  <c r="ER89" i="20"/>
  <c r="ES89" i="20"/>
  <c r="ET89" i="20"/>
  <c r="EU89" i="20"/>
  <c r="EV89" i="20"/>
  <c r="EW89" i="20"/>
  <c r="EX89" i="20"/>
  <c r="EY89" i="20"/>
  <c r="EZ89" i="20"/>
  <c r="FA89" i="20"/>
  <c r="FB89" i="20"/>
  <c r="FC89" i="20"/>
  <c r="FD89" i="20"/>
  <c r="FE89" i="20"/>
  <c r="FF89" i="20"/>
  <c r="FG89" i="20"/>
  <c r="FH89" i="20"/>
  <c r="FI89" i="20"/>
  <c r="FJ89" i="20"/>
  <c r="FK89" i="20"/>
  <c r="FL89" i="20"/>
  <c r="FM89" i="20"/>
  <c r="FN89" i="20"/>
  <c r="FO89" i="20"/>
  <c r="FP89" i="20"/>
  <c r="FQ89" i="20"/>
  <c r="FR89" i="20"/>
  <c r="FS89" i="20"/>
  <c r="FT89" i="20"/>
  <c r="FU89" i="20"/>
  <c r="FV89" i="20"/>
  <c r="FW89" i="20"/>
  <c r="FX89" i="20"/>
  <c r="FY89" i="20"/>
  <c r="FZ89" i="20"/>
  <c r="GA89" i="20"/>
  <c r="GB89" i="20"/>
  <c r="GC89" i="20"/>
  <c r="GD89" i="20"/>
  <c r="GE89" i="20"/>
  <c r="GF89" i="20"/>
  <c r="GG89" i="20"/>
  <c r="GH89" i="20"/>
  <c r="GI89" i="20"/>
  <c r="GJ89" i="20"/>
  <c r="GK89" i="20"/>
  <c r="GL89" i="20"/>
  <c r="GM89" i="20"/>
  <c r="GN89" i="20"/>
  <c r="GO89" i="20"/>
  <c r="GP89" i="20"/>
  <c r="GQ89" i="20"/>
  <c r="GR89" i="20"/>
  <c r="GS89" i="20"/>
  <c r="GT89" i="20"/>
  <c r="GU89" i="20"/>
  <c r="GV89" i="20"/>
  <c r="GW89" i="20"/>
  <c r="GX89" i="20"/>
  <c r="GY89" i="20"/>
  <c r="GZ89" i="20"/>
  <c r="HA89" i="20"/>
  <c r="HB89" i="20"/>
  <c r="HC89" i="20"/>
  <c r="HD89" i="20"/>
  <c r="HE89" i="20"/>
  <c r="HF89" i="20"/>
  <c r="HG89" i="20"/>
  <c r="HH89" i="20"/>
  <c r="HI89" i="20"/>
  <c r="HJ89" i="20"/>
  <c r="HK89" i="20"/>
  <c r="HL89" i="20"/>
  <c r="HM89" i="20"/>
  <c r="HN89" i="20"/>
  <c r="HO89" i="20"/>
  <c r="HP89" i="20"/>
  <c r="HQ89" i="20"/>
  <c r="HR89" i="20"/>
  <c r="HS89" i="20"/>
  <c r="HT89" i="20"/>
  <c r="HU89" i="20"/>
  <c r="HV89" i="20"/>
  <c r="HW89" i="20"/>
  <c r="HX89" i="20"/>
  <c r="HY89" i="20"/>
  <c r="HZ89" i="20"/>
  <c r="IA89" i="20"/>
  <c r="IB89" i="20"/>
  <c r="IC89" i="20"/>
  <c r="ID89" i="20"/>
  <c r="IE89" i="20"/>
  <c r="IF89" i="20"/>
  <c r="IG89" i="20"/>
  <c r="IH89" i="20"/>
  <c r="II89" i="20"/>
  <c r="IJ89" i="20"/>
  <c r="IK89" i="20"/>
  <c r="IL89" i="20"/>
  <c r="IM89" i="20"/>
  <c r="IN89" i="20"/>
  <c r="IO89" i="20"/>
  <c r="IP89" i="20"/>
  <c r="IQ89" i="20"/>
  <c r="IR89" i="20"/>
  <c r="IS89" i="20"/>
  <c r="IT89" i="20"/>
  <c r="IU89" i="20"/>
  <c r="IV89" i="20"/>
  <c r="A88" i="20"/>
  <c r="B88" i="20"/>
  <c r="C88" i="20"/>
  <c r="D88" i="20"/>
  <c r="E88" i="20"/>
  <c r="F88" i="20"/>
  <c r="G88" i="20"/>
  <c r="H88" i="20"/>
  <c r="I88" i="20"/>
  <c r="J88" i="20"/>
  <c r="K88" i="20"/>
  <c r="L88" i="20"/>
  <c r="M88" i="20"/>
  <c r="N88" i="20"/>
  <c r="O88" i="20"/>
  <c r="P88" i="20"/>
  <c r="Q88" i="20"/>
  <c r="R88" i="20"/>
  <c r="S88" i="20"/>
  <c r="T88" i="20"/>
  <c r="U88" i="20"/>
  <c r="V88" i="20"/>
  <c r="W88" i="20"/>
  <c r="X88" i="20"/>
  <c r="Y88" i="20"/>
  <c r="Z88" i="20"/>
  <c r="AA88" i="20"/>
  <c r="AB88" i="20"/>
  <c r="AC88" i="20"/>
  <c r="AD88" i="20"/>
  <c r="AE88" i="20"/>
  <c r="AF88" i="20"/>
  <c r="AG88" i="20"/>
  <c r="AH88" i="20"/>
  <c r="AI88" i="20"/>
  <c r="AJ88" i="20"/>
  <c r="AK88" i="20"/>
  <c r="AL88" i="20"/>
  <c r="AM88" i="20"/>
  <c r="AN88" i="20"/>
  <c r="AO88" i="20"/>
  <c r="AP88" i="20"/>
  <c r="AQ88" i="20"/>
  <c r="AR88" i="20"/>
  <c r="AS88" i="20"/>
  <c r="AT88" i="20"/>
  <c r="AU88" i="20"/>
  <c r="AV88" i="20"/>
  <c r="AW88" i="20"/>
  <c r="AX88" i="20"/>
  <c r="AY88" i="20"/>
  <c r="AZ88" i="20"/>
  <c r="BA88" i="20"/>
  <c r="BB88" i="20"/>
  <c r="BC88" i="20"/>
  <c r="BD88" i="20"/>
  <c r="BE88" i="20"/>
  <c r="BF88" i="20"/>
  <c r="BG88" i="20"/>
  <c r="BH88" i="20"/>
  <c r="BI88" i="20"/>
  <c r="BJ88" i="20"/>
  <c r="BK88" i="20"/>
  <c r="BL88" i="20"/>
  <c r="BM88" i="20"/>
  <c r="BN88" i="20"/>
  <c r="BO88" i="20"/>
  <c r="BP88" i="20"/>
  <c r="BQ88" i="20"/>
  <c r="BR88" i="20"/>
  <c r="BS88" i="20"/>
  <c r="BT88" i="20"/>
  <c r="BU88" i="20"/>
  <c r="BV88" i="20"/>
  <c r="BW88" i="20"/>
  <c r="BX88" i="20"/>
  <c r="BY88" i="20"/>
  <c r="BZ88" i="20"/>
  <c r="CA88" i="20"/>
  <c r="CB88" i="20"/>
  <c r="CC88" i="20"/>
  <c r="CD88" i="20"/>
  <c r="CE88" i="20"/>
  <c r="CF88" i="20"/>
  <c r="CG88" i="20"/>
  <c r="CH88" i="20"/>
  <c r="CI88" i="20"/>
  <c r="CJ88" i="20"/>
  <c r="CK88" i="20"/>
  <c r="CL88" i="20"/>
  <c r="CM88" i="20"/>
  <c r="CN88" i="20"/>
  <c r="CO88" i="20"/>
  <c r="CP88" i="20"/>
  <c r="CQ88" i="20"/>
  <c r="CR88" i="20"/>
  <c r="CS88" i="20"/>
  <c r="CT88" i="20"/>
  <c r="CU88" i="20"/>
  <c r="CV88" i="20"/>
  <c r="CW88" i="20"/>
  <c r="CX88" i="20"/>
  <c r="CY88" i="20"/>
  <c r="CZ88" i="20"/>
  <c r="DA88" i="20"/>
  <c r="DB88" i="20"/>
  <c r="DC88" i="20"/>
  <c r="DD88" i="20"/>
  <c r="DE88" i="20"/>
  <c r="DF88" i="20"/>
  <c r="DG88" i="20"/>
  <c r="DH88" i="20"/>
  <c r="DI88" i="20"/>
  <c r="DJ88" i="20"/>
  <c r="DK88" i="20"/>
  <c r="DL88" i="20"/>
  <c r="DM88" i="20"/>
  <c r="DN88" i="20"/>
  <c r="DO88" i="20"/>
  <c r="DP88" i="20"/>
  <c r="DQ88" i="20"/>
  <c r="DR88" i="20"/>
  <c r="DS88" i="20"/>
  <c r="DT88" i="20"/>
  <c r="DU88" i="20"/>
  <c r="DV88" i="20"/>
  <c r="DW88" i="20"/>
  <c r="DX88" i="20"/>
  <c r="DY88" i="20"/>
  <c r="DZ88" i="20"/>
  <c r="EA88" i="20"/>
  <c r="EB88" i="20"/>
  <c r="EC88" i="20"/>
  <c r="ED88" i="20"/>
  <c r="EE88" i="20"/>
  <c r="EF88" i="20"/>
  <c r="EG88" i="20"/>
  <c r="EH88" i="20"/>
  <c r="EI88" i="20"/>
  <c r="EJ88" i="20"/>
  <c r="EK88" i="20"/>
  <c r="EL88" i="20"/>
  <c r="EM88" i="20"/>
  <c r="EN88" i="20"/>
  <c r="EO88" i="20"/>
  <c r="EP88" i="20"/>
  <c r="EQ88" i="20"/>
  <c r="ER88" i="20"/>
  <c r="ES88" i="20"/>
  <c r="ET88" i="20"/>
  <c r="EU88" i="20"/>
  <c r="EV88" i="20"/>
  <c r="EW88" i="20"/>
  <c r="EX88" i="20"/>
  <c r="EY88" i="20"/>
  <c r="EZ88" i="20"/>
  <c r="FA88" i="20"/>
  <c r="FB88" i="20"/>
  <c r="FC88" i="20"/>
  <c r="FD88" i="20"/>
  <c r="FE88" i="20"/>
  <c r="FF88" i="20"/>
  <c r="FG88" i="20"/>
  <c r="FH88" i="20"/>
  <c r="FI88" i="20"/>
  <c r="FJ88" i="20"/>
  <c r="FK88" i="20"/>
  <c r="FL88" i="20"/>
  <c r="FM88" i="20"/>
  <c r="FN88" i="20"/>
  <c r="FO88" i="20"/>
  <c r="FP88" i="20"/>
  <c r="FQ88" i="20"/>
  <c r="FR88" i="20"/>
  <c r="FS88" i="20"/>
  <c r="FT88" i="20"/>
  <c r="FU88" i="20"/>
  <c r="FV88" i="20"/>
  <c r="FW88" i="20"/>
  <c r="FX88" i="20"/>
  <c r="FY88" i="20"/>
  <c r="FZ88" i="20"/>
  <c r="GA88" i="20"/>
  <c r="GB88" i="20"/>
  <c r="GC88" i="20"/>
  <c r="GD88" i="20"/>
  <c r="GE88" i="20"/>
  <c r="GF88" i="20"/>
  <c r="GG88" i="20"/>
  <c r="GH88" i="20"/>
  <c r="GI88" i="20"/>
  <c r="GJ88" i="20"/>
  <c r="GK88" i="20"/>
  <c r="GL88" i="20"/>
  <c r="GM88" i="20"/>
  <c r="GN88" i="20"/>
  <c r="GO88" i="20"/>
  <c r="GP88" i="20"/>
  <c r="GQ88" i="20"/>
  <c r="GR88" i="20"/>
  <c r="GS88" i="20"/>
  <c r="GT88" i="20"/>
  <c r="GU88" i="20"/>
  <c r="GV88" i="20"/>
  <c r="GW88" i="20"/>
  <c r="GX88" i="20"/>
  <c r="GY88" i="20"/>
  <c r="GZ88" i="20"/>
  <c r="HA88" i="20"/>
  <c r="HB88" i="20"/>
  <c r="HC88" i="20"/>
  <c r="HD88" i="20"/>
  <c r="HE88" i="20"/>
  <c r="HF88" i="20"/>
  <c r="HG88" i="20"/>
  <c r="HH88" i="20"/>
  <c r="HI88" i="20"/>
  <c r="HJ88" i="20"/>
  <c r="HK88" i="20"/>
  <c r="HL88" i="20"/>
  <c r="HM88" i="20"/>
  <c r="HN88" i="20"/>
  <c r="HO88" i="20"/>
  <c r="HP88" i="20"/>
  <c r="HQ88" i="20"/>
  <c r="HR88" i="20"/>
  <c r="HS88" i="20"/>
  <c r="HT88" i="20"/>
  <c r="HU88" i="20"/>
  <c r="HV88" i="20"/>
  <c r="HW88" i="20"/>
  <c r="HX88" i="20"/>
  <c r="HY88" i="20"/>
  <c r="HZ88" i="20"/>
  <c r="IA88" i="20"/>
  <c r="IB88" i="20"/>
  <c r="IC88" i="20"/>
  <c r="ID88" i="20"/>
  <c r="IE88" i="20"/>
  <c r="IF88" i="20"/>
  <c r="IG88" i="20"/>
  <c r="IH88" i="20"/>
  <c r="II88" i="20"/>
  <c r="IJ88" i="20"/>
  <c r="IK88" i="20"/>
  <c r="IL88" i="20"/>
  <c r="IM88" i="20"/>
  <c r="IN88" i="20"/>
  <c r="IO88" i="20"/>
  <c r="IP88" i="20"/>
  <c r="IQ88" i="20"/>
  <c r="IR88" i="20"/>
  <c r="IS88" i="20"/>
  <c r="IT88" i="20"/>
  <c r="IU88" i="20"/>
  <c r="IV88" i="20"/>
  <c r="A87" i="20"/>
  <c r="B87" i="20"/>
  <c r="C87" i="20"/>
  <c r="D87" i="20"/>
  <c r="E87" i="20"/>
  <c r="F87" i="20"/>
  <c r="G87" i="20"/>
  <c r="H87" i="20"/>
  <c r="I87" i="20"/>
  <c r="J87" i="20"/>
  <c r="K87" i="20"/>
  <c r="L87" i="20"/>
  <c r="M87" i="20"/>
  <c r="N87" i="20"/>
  <c r="O87" i="20"/>
  <c r="P87" i="20"/>
  <c r="Q87" i="20"/>
  <c r="R87" i="20"/>
  <c r="S87" i="20"/>
  <c r="T87" i="20"/>
  <c r="U87" i="20"/>
  <c r="V87" i="20"/>
  <c r="W87" i="20"/>
  <c r="X87" i="20"/>
  <c r="Y87" i="20"/>
  <c r="Z87" i="20"/>
  <c r="AA87" i="20"/>
  <c r="AB87" i="20"/>
  <c r="AC87" i="20"/>
  <c r="AD87" i="20"/>
  <c r="AE87" i="20"/>
  <c r="AF87" i="20"/>
  <c r="AG87" i="20"/>
  <c r="AH87" i="20"/>
  <c r="AI87" i="20"/>
  <c r="AJ87" i="20"/>
  <c r="AK87" i="20"/>
  <c r="AL87" i="20"/>
  <c r="AM87" i="20"/>
  <c r="AN87" i="20"/>
  <c r="AO87" i="20"/>
  <c r="AP87" i="20"/>
  <c r="AQ87" i="20"/>
  <c r="AR87" i="20"/>
  <c r="AS87" i="20"/>
  <c r="AT87" i="20"/>
  <c r="AU87" i="20"/>
  <c r="AV87" i="20"/>
  <c r="AW87" i="20"/>
  <c r="AX87" i="20"/>
  <c r="AY87" i="20"/>
  <c r="AZ87" i="20"/>
  <c r="BA87" i="20"/>
  <c r="BB87" i="20"/>
  <c r="BC87" i="20"/>
  <c r="BD87" i="20"/>
  <c r="BE87" i="20"/>
  <c r="BF87" i="20"/>
  <c r="BG87" i="20"/>
  <c r="BH87" i="20"/>
  <c r="BI87" i="20"/>
  <c r="BJ87" i="20"/>
  <c r="BK87" i="20"/>
  <c r="BL87" i="20"/>
  <c r="BM87" i="20"/>
  <c r="BN87" i="20"/>
  <c r="BO87" i="20"/>
  <c r="BP87" i="20"/>
  <c r="BQ87" i="20"/>
  <c r="BR87" i="20"/>
  <c r="BS87" i="20"/>
  <c r="BT87" i="20"/>
  <c r="BU87" i="20"/>
  <c r="BV87" i="20"/>
  <c r="BW87" i="20"/>
  <c r="BX87" i="20"/>
  <c r="BY87" i="20"/>
  <c r="BZ87" i="20"/>
  <c r="CA87" i="20"/>
  <c r="CB87" i="20"/>
  <c r="CC87" i="20"/>
  <c r="CD87" i="20"/>
  <c r="CE87" i="20"/>
  <c r="CF87" i="20"/>
  <c r="CG87" i="20"/>
  <c r="CH87" i="20"/>
  <c r="CI87" i="20"/>
  <c r="CJ87" i="20"/>
  <c r="CK87" i="20"/>
  <c r="CL87" i="20"/>
  <c r="CM87" i="20"/>
  <c r="CN87" i="20"/>
  <c r="CO87" i="20"/>
  <c r="CP87" i="20"/>
  <c r="CQ87" i="20"/>
  <c r="CR87" i="20"/>
  <c r="CS87" i="20"/>
  <c r="CT87" i="20"/>
  <c r="CU87" i="20"/>
  <c r="CV87" i="20"/>
  <c r="CW87" i="20"/>
  <c r="CX87" i="20"/>
  <c r="CY87" i="20"/>
  <c r="CZ87" i="20"/>
  <c r="DA87" i="20"/>
  <c r="DB87" i="20"/>
  <c r="DC87" i="20"/>
  <c r="DD87" i="20"/>
  <c r="DE87" i="20"/>
  <c r="DF87" i="20"/>
  <c r="DG87" i="20"/>
  <c r="DH87" i="20"/>
  <c r="DI87" i="20"/>
  <c r="DJ87" i="20"/>
  <c r="DK87" i="20"/>
  <c r="DL87" i="20"/>
  <c r="DM87" i="20"/>
  <c r="DN87" i="20"/>
  <c r="DO87" i="20"/>
  <c r="DP87" i="20"/>
  <c r="DQ87" i="20"/>
  <c r="DR87" i="20"/>
  <c r="DS87" i="20"/>
  <c r="DT87" i="20"/>
  <c r="DU87" i="20"/>
  <c r="DV87" i="20"/>
  <c r="DW87" i="20"/>
  <c r="DX87" i="20"/>
  <c r="DY87" i="20"/>
  <c r="DZ87" i="20"/>
  <c r="EA87" i="20"/>
  <c r="EB87" i="20"/>
  <c r="EC87" i="20"/>
  <c r="ED87" i="20"/>
  <c r="EE87" i="20"/>
  <c r="EF87" i="20"/>
  <c r="EG87" i="20"/>
  <c r="EH87" i="20"/>
  <c r="EI87" i="20"/>
  <c r="EJ87" i="20"/>
  <c r="EK87" i="20"/>
  <c r="EL87" i="20"/>
  <c r="EM87" i="20"/>
  <c r="EN87" i="20"/>
  <c r="EO87" i="20"/>
  <c r="EP87" i="20"/>
  <c r="EQ87" i="20"/>
  <c r="ER87" i="20"/>
  <c r="ES87" i="20"/>
  <c r="ET87" i="20"/>
  <c r="EU87" i="20"/>
  <c r="EV87" i="20"/>
  <c r="EW87" i="20"/>
  <c r="EX87" i="20"/>
  <c r="EY87" i="20"/>
  <c r="EZ87" i="20"/>
  <c r="FA87" i="20"/>
  <c r="FB87" i="20"/>
  <c r="FC87" i="20"/>
  <c r="FD87" i="20"/>
  <c r="FE87" i="20"/>
  <c r="FF87" i="20"/>
  <c r="FG87" i="20"/>
  <c r="FH87" i="20"/>
  <c r="FI87" i="20"/>
  <c r="FJ87" i="20"/>
  <c r="FK87" i="20"/>
  <c r="FL87" i="20"/>
  <c r="FM87" i="20"/>
  <c r="FN87" i="20"/>
  <c r="FO87" i="20"/>
  <c r="FP87" i="20"/>
  <c r="FQ87" i="20"/>
  <c r="FR87" i="20"/>
  <c r="FS87" i="20"/>
  <c r="FT87" i="20"/>
  <c r="FU87" i="20"/>
  <c r="FV87" i="20"/>
  <c r="FW87" i="20"/>
  <c r="FX87" i="20"/>
  <c r="FY87" i="20"/>
  <c r="FZ87" i="20"/>
  <c r="GA87" i="20"/>
  <c r="GB87" i="20"/>
  <c r="GC87" i="20"/>
  <c r="GD87" i="20"/>
  <c r="GE87" i="20"/>
  <c r="GF87" i="20"/>
  <c r="GG87" i="20"/>
  <c r="GH87" i="20"/>
  <c r="GI87" i="20"/>
  <c r="GJ87" i="20"/>
  <c r="GK87" i="20"/>
  <c r="GL87" i="20"/>
  <c r="GM87" i="20"/>
  <c r="GN87" i="20"/>
  <c r="GO87" i="20"/>
  <c r="GP87" i="20"/>
  <c r="GQ87" i="20"/>
  <c r="GR87" i="20"/>
  <c r="GS87" i="20"/>
  <c r="GT87" i="20"/>
  <c r="GU87" i="20"/>
  <c r="GV87" i="20"/>
  <c r="GW87" i="20"/>
  <c r="GX87" i="20"/>
  <c r="GY87" i="20"/>
  <c r="GZ87" i="20"/>
  <c r="HA87" i="20"/>
  <c r="HB87" i="20"/>
  <c r="HC87" i="20"/>
  <c r="HD87" i="20"/>
  <c r="HE87" i="20"/>
  <c r="HF87" i="20"/>
  <c r="HG87" i="20"/>
  <c r="HH87" i="20"/>
  <c r="HI87" i="20"/>
  <c r="HJ87" i="20"/>
  <c r="HK87" i="20"/>
  <c r="HL87" i="20"/>
  <c r="HM87" i="20"/>
  <c r="HN87" i="20"/>
  <c r="HO87" i="20"/>
  <c r="HP87" i="20"/>
  <c r="HQ87" i="20"/>
  <c r="HR87" i="20"/>
  <c r="HS87" i="20"/>
  <c r="HT87" i="20"/>
  <c r="HU87" i="20"/>
  <c r="HV87" i="20"/>
  <c r="HW87" i="20"/>
  <c r="HX87" i="20"/>
  <c r="HY87" i="20"/>
  <c r="HZ87" i="20"/>
  <c r="IA87" i="20"/>
  <c r="IB87" i="20"/>
  <c r="IC87" i="20"/>
  <c r="ID87" i="20"/>
  <c r="IE87" i="20"/>
  <c r="IF87" i="20"/>
  <c r="IG87" i="20"/>
  <c r="IH87" i="20"/>
  <c r="II87" i="20"/>
  <c r="IJ87" i="20"/>
  <c r="IK87" i="20"/>
  <c r="IL87" i="20"/>
  <c r="IM87" i="20"/>
  <c r="IN87" i="20"/>
  <c r="IO87" i="20"/>
  <c r="IP87" i="20"/>
  <c r="IQ87" i="20"/>
  <c r="IR87" i="20"/>
  <c r="IS87" i="20"/>
  <c r="IT87" i="20"/>
  <c r="IU87" i="20"/>
  <c r="IV87" i="20"/>
  <c r="A86" i="20"/>
  <c r="B86" i="20"/>
  <c r="C86" i="20"/>
  <c r="D86" i="20"/>
  <c r="E86" i="20"/>
  <c r="F86" i="20"/>
  <c r="G86" i="20"/>
  <c r="H86" i="20"/>
  <c r="I86" i="20"/>
  <c r="J86" i="20"/>
  <c r="K86" i="20"/>
  <c r="L86" i="20"/>
  <c r="M86" i="20"/>
  <c r="N86" i="20"/>
  <c r="O86" i="20"/>
  <c r="P86" i="20"/>
  <c r="Q86" i="20"/>
  <c r="R86" i="20"/>
  <c r="S86" i="20"/>
  <c r="T86" i="20"/>
  <c r="U86" i="20"/>
  <c r="V86" i="20"/>
  <c r="W86" i="20"/>
  <c r="X86" i="20"/>
  <c r="Y86" i="20"/>
  <c r="Z86" i="20"/>
  <c r="AA86" i="20"/>
  <c r="AB86" i="20"/>
  <c r="AC86" i="20"/>
  <c r="AD86" i="20"/>
  <c r="AE86" i="20"/>
  <c r="AF86" i="20"/>
  <c r="AG86" i="20"/>
  <c r="AH86" i="20"/>
  <c r="AI86" i="20"/>
  <c r="AJ86" i="20"/>
  <c r="AK86" i="20"/>
  <c r="AL86" i="20"/>
  <c r="AM86" i="20"/>
  <c r="AN86" i="20"/>
  <c r="AO86" i="20"/>
  <c r="AP86" i="20"/>
  <c r="AQ86" i="20"/>
  <c r="AR86" i="20"/>
  <c r="AS86" i="20"/>
  <c r="AT86" i="20"/>
  <c r="AU86" i="20"/>
  <c r="AV86" i="20"/>
  <c r="AW86" i="20"/>
  <c r="AX86" i="20"/>
  <c r="AY86" i="20"/>
  <c r="AZ86" i="20"/>
  <c r="BA86" i="20"/>
  <c r="BB86" i="20"/>
  <c r="BC86" i="20"/>
  <c r="BD86" i="20"/>
  <c r="BE86" i="20"/>
  <c r="BF86" i="20"/>
  <c r="BG86" i="20"/>
  <c r="BH86" i="20"/>
  <c r="BI86" i="20"/>
  <c r="BJ86" i="20"/>
  <c r="BK86" i="20"/>
  <c r="BL86" i="20"/>
  <c r="BM86" i="20"/>
  <c r="BN86" i="20"/>
  <c r="BO86" i="20"/>
  <c r="BP86" i="20"/>
  <c r="BQ86" i="20"/>
  <c r="BR86" i="20"/>
  <c r="BS86" i="20"/>
  <c r="BT86" i="20"/>
  <c r="BU86" i="20"/>
  <c r="BV86" i="20"/>
  <c r="BW86" i="20"/>
  <c r="BX86" i="20"/>
  <c r="BY86" i="20"/>
  <c r="BZ86" i="20"/>
  <c r="CA86" i="20"/>
  <c r="CB86" i="20"/>
  <c r="CC86" i="20"/>
  <c r="CD86" i="20"/>
  <c r="CE86" i="20"/>
  <c r="CF86" i="20"/>
  <c r="CG86" i="20"/>
  <c r="CH86" i="20"/>
  <c r="CI86" i="20"/>
  <c r="CJ86" i="20"/>
  <c r="CK86" i="20"/>
  <c r="CL86" i="20"/>
  <c r="CM86" i="20"/>
  <c r="CN86" i="20"/>
  <c r="CO86" i="20"/>
  <c r="CP86" i="20"/>
  <c r="CQ86" i="20"/>
  <c r="CR86" i="20"/>
  <c r="CS86" i="20"/>
  <c r="CT86" i="20"/>
  <c r="CU86" i="20"/>
  <c r="CV86" i="20"/>
  <c r="CW86" i="20"/>
  <c r="CX86" i="20"/>
  <c r="CY86" i="20"/>
  <c r="CZ86" i="20"/>
  <c r="DA86" i="20"/>
  <c r="DB86" i="20"/>
  <c r="DC86" i="20"/>
  <c r="DD86" i="20"/>
  <c r="DE86" i="20"/>
  <c r="DF86" i="20"/>
  <c r="DG86" i="20"/>
  <c r="DH86" i="20"/>
  <c r="DI86" i="20"/>
  <c r="DJ86" i="20"/>
  <c r="DK86" i="20"/>
  <c r="DL86" i="20"/>
  <c r="DM86" i="20"/>
  <c r="DN86" i="20"/>
  <c r="DO86" i="20"/>
  <c r="DP86" i="20"/>
  <c r="DQ86" i="20"/>
  <c r="DR86" i="20"/>
  <c r="DS86" i="20"/>
  <c r="DT86" i="20"/>
  <c r="DU86" i="20"/>
  <c r="DV86" i="20"/>
  <c r="DW86" i="20"/>
  <c r="DX86" i="20"/>
  <c r="DY86" i="20"/>
  <c r="DZ86" i="20"/>
  <c r="EA86" i="20"/>
  <c r="EB86" i="20"/>
  <c r="EC86" i="20"/>
  <c r="ED86" i="20"/>
  <c r="EE86" i="20"/>
  <c r="EF86" i="20"/>
  <c r="EG86" i="20"/>
  <c r="EH86" i="20"/>
  <c r="EI86" i="20"/>
  <c r="EJ86" i="20"/>
  <c r="EK86" i="20"/>
  <c r="EL86" i="20"/>
  <c r="EM86" i="20"/>
  <c r="EN86" i="20"/>
  <c r="EO86" i="20"/>
  <c r="EP86" i="20"/>
  <c r="EQ86" i="20"/>
  <c r="ER86" i="20"/>
  <c r="ES86" i="20"/>
  <c r="ET86" i="20"/>
  <c r="EU86" i="20"/>
  <c r="EV86" i="20"/>
  <c r="EW86" i="20"/>
  <c r="EX86" i="20"/>
  <c r="EY86" i="20"/>
  <c r="EZ86" i="20"/>
  <c r="FA86" i="20"/>
  <c r="FB86" i="20"/>
  <c r="FC86" i="20"/>
  <c r="FD86" i="20"/>
  <c r="FE86" i="20"/>
  <c r="FF86" i="20"/>
  <c r="FG86" i="20"/>
  <c r="FH86" i="20"/>
  <c r="FI86" i="20"/>
  <c r="FJ86" i="20"/>
  <c r="FK86" i="20"/>
  <c r="FL86" i="20"/>
  <c r="FM86" i="20"/>
  <c r="FN86" i="20"/>
  <c r="FO86" i="20"/>
  <c r="FP86" i="20"/>
  <c r="FQ86" i="20"/>
  <c r="FR86" i="20"/>
  <c r="FS86" i="20"/>
  <c r="FT86" i="20"/>
  <c r="FU86" i="20"/>
  <c r="FV86" i="20"/>
  <c r="FW86" i="20"/>
  <c r="FX86" i="20"/>
  <c r="FY86" i="20"/>
  <c r="FZ86" i="20"/>
  <c r="GA86" i="20"/>
  <c r="GB86" i="20"/>
  <c r="GC86" i="20"/>
  <c r="GD86" i="20"/>
  <c r="GE86" i="20"/>
  <c r="GF86" i="20"/>
  <c r="GG86" i="20"/>
  <c r="GH86" i="20"/>
  <c r="GI86" i="20"/>
  <c r="GJ86" i="20"/>
  <c r="GK86" i="20"/>
  <c r="GL86" i="20"/>
  <c r="GM86" i="20"/>
  <c r="GN86" i="20"/>
  <c r="GO86" i="20"/>
  <c r="GP86" i="20"/>
  <c r="GQ86" i="20"/>
  <c r="GR86" i="20"/>
  <c r="GS86" i="20"/>
  <c r="GT86" i="20"/>
  <c r="GU86" i="20"/>
  <c r="GV86" i="20"/>
  <c r="GW86" i="20"/>
  <c r="GX86" i="20"/>
  <c r="GY86" i="20"/>
  <c r="GZ86" i="20"/>
  <c r="HA86" i="20"/>
  <c r="HB86" i="20"/>
  <c r="HC86" i="20"/>
  <c r="HD86" i="20"/>
  <c r="HE86" i="20"/>
  <c r="HF86" i="20"/>
  <c r="HG86" i="20"/>
  <c r="HH86" i="20"/>
  <c r="HI86" i="20"/>
  <c r="HJ86" i="20"/>
  <c r="HK86" i="20"/>
  <c r="HL86" i="20"/>
  <c r="HM86" i="20"/>
  <c r="HN86" i="20"/>
  <c r="HO86" i="20"/>
  <c r="HP86" i="20"/>
  <c r="HQ86" i="20"/>
  <c r="HR86" i="20"/>
  <c r="HS86" i="20"/>
  <c r="HT86" i="20"/>
  <c r="HU86" i="20"/>
  <c r="HV86" i="20"/>
  <c r="HW86" i="20"/>
  <c r="HX86" i="20"/>
  <c r="HY86" i="20"/>
  <c r="HZ86" i="20"/>
  <c r="IA86" i="20"/>
  <c r="IB86" i="20"/>
  <c r="IC86" i="20"/>
  <c r="ID86" i="20"/>
  <c r="IE86" i="20"/>
  <c r="IF86" i="20"/>
  <c r="IG86" i="20"/>
  <c r="IH86" i="20"/>
  <c r="II86" i="20"/>
  <c r="IJ86" i="20"/>
  <c r="IK86" i="20"/>
  <c r="IL86" i="20"/>
  <c r="IM86" i="20"/>
  <c r="IN86" i="20"/>
  <c r="IO86" i="20"/>
  <c r="IP86" i="20"/>
  <c r="IQ86" i="20"/>
  <c r="IR86" i="20"/>
  <c r="IS86" i="20"/>
  <c r="IT86" i="20"/>
  <c r="IU86" i="20"/>
  <c r="IV86" i="20"/>
  <c r="A85" i="20"/>
  <c r="B85" i="20"/>
  <c r="C85" i="20"/>
  <c r="D85" i="20"/>
  <c r="E85" i="20"/>
  <c r="F85" i="20"/>
  <c r="G85" i="20"/>
  <c r="H85" i="20"/>
  <c r="I85" i="20"/>
  <c r="J85" i="20"/>
  <c r="K85" i="20"/>
  <c r="L85" i="20"/>
  <c r="M85" i="20"/>
  <c r="N85" i="20"/>
  <c r="O85" i="20"/>
  <c r="P85" i="20"/>
  <c r="Q85" i="20"/>
  <c r="R85" i="20"/>
  <c r="S85" i="20"/>
  <c r="T85" i="20"/>
  <c r="U85" i="20"/>
  <c r="V85" i="20"/>
  <c r="W85" i="20"/>
  <c r="X85" i="20"/>
  <c r="Y85" i="20"/>
  <c r="Z85" i="20"/>
  <c r="AA85" i="20"/>
  <c r="AB85" i="20"/>
  <c r="AC85" i="20"/>
  <c r="AD85" i="20"/>
  <c r="AE85" i="20"/>
  <c r="AF85" i="20"/>
  <c r="AG85" i="20"/>
  <c r="AH85" i="20"/>
  <c r="AI85" i="20"/>
  <c r="AJ85" i="20"/>
  <c r="AK85" i="20"/>
  <c r="AL85" i="20"/>
  <c r="AM85" i="20"/>
  <c r="AN85" i="20"/>
  <c r="AO85" i="20"/>
  <c r="AP85" i="20"/>
  <c r="AQ85" i="20"/>
  <c r="AR85" i="20"/>
  <c r="AS85" i="20"/>
  <c r="AT85" i="20"/>
  <c r="AU85" i="20"/>
  <c r="AV85" i="20"/>
  <c r="AW85" i="20"/>
  <c r="AX85" i="20"/>
  <c r="AY85" i="20"/>
  <c r="AZ85" i="20"/>
  <c r="BA85" i="20"/>
  <c r="BB85" i="20"/>
  <c r="BC85" i="20"/>
  <c r="BD85" i="20"/>
  <c r="BE85" i="20"/>
  <c r="BF85" i="20"/>
  <c r="BG85" i="20"/>
  <c r="BH85" i="20"/>
  <c r="BI85" i="20"/>
  <c r="BJ85" i="20"/>
  <c r="BK85" i="20"/>
  <c r="BL85" i="20"/>
  <c r="BM85" i="20"/>
  <c r="BN85" i="20"/>
  <c r="BO85" i="20"/>
  <c r="BP85" i="20"/>
  <c r="BQ85" i="20"/>
  <c r="BR85" i="20"/>
  <c r="BS85" i="20"/>
  <c r="BT85" i="20"/>
  <c r="BU85" i="20"/>
  <c r="BV85" i="20"/>
  <c r="BW85" i="20"/>
  <c r="BX85" i="20"/>
  <c r="BY85" i="20"/>
  <c r="BZ85" i="20"/>
  <c r="CA85" i="20"/>
  <c r="CB85" i="20"/>
  <c r="CC85" i="20"/>
  <c r="CD85" i="20"/>
  <c r="CE85" i="20"/>
  <c r="CF85" i="20"/>
  <c r="CG85" i="20"/>
  <c r="CH85" i="20"/>
  <c r="CI85" i="20"/>
  <c r="CJ85" i="20"/>
  <c r="CK85" i="20"/>
  <c r="CL85" i="20"/>
  <c r="CM85" i="20"/>
  <c r="CN85" i="20"/>
  <c r="CO85" i="20"/>
  <c r="CP85" i="20"/>
  <c r="CQ85" i="20"/>
  <c r="CR85" i="20"/>
  <c r="CS85" i="20"/>
  <c r="CT85" i="20"/>
  <c r="CU85" i="20"/>
  <c r="CV85" i="20"/>
  <c r="CW85" i="20"/>
  <c r="CX85" i="20"/>
  <c r="CY85" i="20"/>
  <c r="CZ85" i="20"/>
  <c r="DA85" i="20"/>
  <c r="DB85" i="20"/>
  <c r="DC85" i="20"/>
  <c r="DD85" i="20"/>
  <c r="DE85" i="20"/>
  <c r="DF85" i="20"/>
  <c r="DG85" i="20"/>
  <c r="DH85" i="20"/>
  <c r="DI85" i="20"/>
  <c r="DJ85" i="20"/>
  <c r="DK85" i="20"/>
  <c r="DL85" i="20"/>
  <c r="DM85" i="20"/>
  <c r="DN85" i="20"/>
  <c r="DO85" i="20"/>
  <c r="DP85" i="20"/>
  <c r="DQ85" i="20"/>
  <c r="DR85" i="20"/>
  <c r="DS85" i="20"/>
  <c r="DT85" i="20"/>
  <c r="DU85" i="20"/>
  <c r="DV85" i="20"/>
  <c r="DW85" i="20"/>
  <c r="DX85" i="20"/>
  <c r="DY85" i="20"/>
  <c r="DZ85" i="20"/>
  <c r="EA85" i="20"/>
  <c r="EB85" i="20"/>
  <c r="EC85" i="20"/>
  <c r="ED85" i="20"/>
  <c r="EE85" i="20"/>
  <c r="EF85" i="20"/>
  <c r="EG85" i="20"/>
  <c r="EH85" i="20"/>
  <c r="EI85" i="20"/>
  <c r="EJ85" i="20"/>
  <c r="EK85" i="20"/>
  <c r="EL85" i="20"/>
  <c r="EM85" i="20"/>
  <c r="EN85" i="20"/>
  <c r="EO85" i="20"/>
  <c r="EP85" i="20"/>
  <c r="EQ85" i="20"/>
  <c r="ER85" i="20"/>
  <c r="ES85" i="20"/>
  <c r="ET85" i="20"/>
  <c r="EU85" i="20"/>
  <c r="EV85" i="20"/>
  <c r="EW85" i="20"/>
  <c r="EX85" i="20"/>
  <c r="EY85" i="20"/>
  <c r="EZ85" i="20"/>
  <c r="FA85" i="20"/>
  <c r="FB85" i="20"/>
  <c r="FC85" i="20"/>
  <c r="FD85" i="20"/>
  <c r="FE85" i="20"/>
  <c r="FF85" i="20"/>
  <c r="FG85" i="20"/>
  <c r="FH85" i="20"/>
  <c r="FI85" i="20"/>
  <c r="FJ85" i="20"/>
  <c r="FK85" i="20"/>
  <c r="FL85" i="20"/>
  <c r="FM85" i="20"/>
  <c r="FN85" i="20"/>
  <c r="FO85" i="20"/>
  <c r="FP85" i="20"/>
  <c r="FQ85" i="20"/>
  <c r="FR85" i="20"/>
  <c r="FS85" i="20"/>
  <c r="FT85" i="20"/>
  <c r="FU85" i="20"/>
  <c r="FV85" i="20"/>
  <c r="FW85" i="20"/>
  <c r="FX85" i="20"/>
  <c r="FY85" i="20"/>
  <c r="FZ85" i="20"/>
  <c r="GA85" i="20"/>
  <c r="GB85" i="20"/>
  <c r="GC85" i="20"/>
  <c r="GD85" i="20"/>
  <c r="GE85" i="20"/>
  <c r="GF85" i="20"/>
  <c r="GG85" i="20"/>
  <c r="GH85" i="20"/>
  <c r="GI85" i="20"/>
  <c r="GJ85" i="20"/>
  <c r="GK85" i="20"/>
  <c r="GL85" i="20"/>
  <c r="GM85" i="20"/>
  <c r="GN85" i="20"/>
  <c r="GO85" i="20"/>
  <c r="GP85" i="20"/>
  <c r="GQ85" i="20"/>
  <c r="GR85" i="20"/>
  <c r="GS85" i="20"/>
  <c r="GT85" i="20"/>
  <c r="GU85" i="20"/>
  <c r="GV85" i="20"/>
  <c r="GW85" i="20"/>
  <c r="GX85" i="20"/>
  <c r="GY85" i="20"/>
  <c r="GZ85" i="20"/>
  <c r="HA85" i="20"/>
  <c r="HB85" i="20"/>
  <c r="HC85" i="20"/>
  <c r="HD85" i="20"/>
  <c r="HE85" i="20"/>
  <c r="HF85" i="20"/>
  <c r="HG85" i="20"/>
  <c r="HH85" i="20"/>
  <c r="HI85" i="20"/>
  <c r="HJ85" i="20"/>
  <c r="HK85" i="20"/>
  <c r="HL85" i="20"/>
  <c r="HM85" i="20"/>
  <c r="HN85" i="20"/>
  <c r="HO85" i="20"/>
  <c r="HP85" i="20"/>
  <c r="HQ85" i="20"/>
  <c r="HR85" i="20"/>
  <c r="HS85" i="20"/>
  <c r="HT85" i="20"/>
  <c r="HU85" i="20"/>
  <c r="HV85" i="20"/>
  <c r="HW85" i="20"/>
  <c r="HX85" i="20"/>
  <c r="HY85" i="20"/>
  <c r="HZ85" i="20"/>
  <c r="IA85" i="20"/>
  <c r="IB85" i="20"/>
  <c r="IC85" i="20"/>
  <c r="ID85" i="20"/>
  <c r="IE85" i="20"/>
  <c r="IF85" i="20"/>
  <c r="IG85" i="20"/>
  <c r="IH85" i="20"/>
  <c r="II85" i="20"/>
  <c r="IJ85" i="20"/>
  <c r="IK85" i="20"/>
  <c r="IL85" i="20"/>
  <c r="IM85" i="20"/>
  <c r="IN85" i="20"/>
  <c r="IO85" i="20"/>
  <c r="IP85" i="20"/>
  <c r="IQ85" i="20"/>
  <c r="IR85" i="20"/>
  <c r="IS85" i="20"/>
  <c r="IT85" i="20"/>
  <c r="IU85" i="20"/>
  <c r="IV85" i="20"/>
  <c r="A84" i="20"/>
  <c r="B84" i="20"/>
  <c r="C84" i="20"/>
  <c r="D84" i="20"/>
  <c r="E84" i="20"/>
  <c r="F84" i="20"/>
  <c r="G84" i="20"/>
  <c r="H84" i="20"/>
  <c r="I84" i="20"/>
  <c r="J84" i="20"/>
  <c r="K84" i="20"/>
  <c r="L84" i="20"/>
  <c r="M84" i="20"/>
  <c r="N84" i="20"/>
  <c r="O84" i="20"/>
  <c r="P84" i="20"/>
  <c r="Q84" i="20"/>
  <c r="R84" i="20"/>
  <c r="S84" i="20"/>
  <c r="T84" i="20"/>
  <c r="U84" i="20"/>
  <c r="V84" i="20"/>
  <c r="W84" i="20"/>
  <c r="X84" i="20"/>
  <c r="Y84" i="20"/>
  <c r="Z84" i="20"/>
  <c r="AA84" i="20"/>
  <c r="AB84" i="20"/>
  <c r="AC84" i="20"/>
  <c r="AD84" i="20"/>
  <c r="AE84" i="20"/>
  <c r="AF84" i="20"/>
  <c r="AG84" i="20"/>
  <c r="AH84" i="20"/>
  <c r="AI84" i="20"/>
  <c r="AJ84" i="20"/>
  <c r="AK84" i="20"/>
  <c r="AL84" i="20"/>
  <c r="AM84" i="20"/>
  <c r="AN84" i="20"/>
  <c r="AO84" i="20"/>
  <c r="AP84" i="20"/>
  <c r="AQ84" i="20"/>
  <c r="AR84" i="20"/>
  <c r="AS84" i="20"/>
  <c r="AT84" i="20"/>
  <c r="AU84" i="20"/>
  <c r="AV84" i="20"/>
  <c r="AW84" i="20"/>
  <c r="AX84" i="20"/>
  <c r="AY84" i="20"/>
  <c r="AZ84" i="20"/>
  <c r="BA84" i="20"/>
  <c r="BB84" i="20"/>
  <c r="BC84" i="20"/>
  <c r="BD84" i="20"/>
  <c r="BE84" i="20"/>
  <c r="BF84" i="20"/>
  <c r="BG84" i="20"/>
  <c r="BH84" i="20"/>
  <c r="BI84" i="20"/>
  <c r="BJ84" i="20"/>
  <c r="BK84" i="20"/>
  <c r="BL84" i="20"/>
  <c r="BM84" i="20"/>
  <c r="BN84" i="20"/>
  <c r="BO84" i="20"/>
  <c r="BP84" i="20"/>
  <c r="BQ84" i="20"/>
  <c r="BR84" i="20"/>
  <c r="BS84" i="20"/>
  <c r="BT84" i="20"/>
  <c r="BU84" i="20"/>
  <c r="BV84" i="20"/>
  <c r="BW84" i="20"/>
  <c r="BX84" i="20"/>
  <c r="BY84" i="20"/>
  <c r="BZ84" i="20"/>
  <c r="CA84" i="20"/>
  <c r="CB84" i="20"/>
  <c r="CC84" i="20"/>
  <c r="CD84" i="20"/>
  <c r="CE84" i="20"/>
  <c r="CF84" i="20"/>
  <c r="CG84" i="20"/>
  <c r="CH84" i="20"/>
  <c r="CI84" i="20"/>
  <c r="CJ84" i="20"/>
  <c r="CK84" i="20"/>
  <c r="CL84" i="20"/>
  <c r="CM84" i="20"/>
  <c r="CN84" i="20"/>
  <c r="CO84" i="20"/>
  <c r="CP84" i="20"/>
  <c r="CQ84" i="20"/>
  <c r="CR84" i="20"/>
  <c r="CS84" i="20"/>
  <c r="CT84" i="20"/>
  <c r="CU84" i="20"/>
  <c r="CV84" i="20"/>
  <c r="CW84" i="20"/>
  <c r="CX84" i="20"/>
  <c r="CY84" i="20"/>
  <c r="CZ84" i="20"/>
  <c r="DA84" i="20"/>
  <c r="DB84" i="20"/>
  <c r="DC84" i="20"/>
  <c r="DD84" i="20"/>
  <c r="DE84" i="20"/>
  <c r="DF84" i="20"/>
  <c r="DG84" i="20"/>
  <c r="DH84" i="20"/>
  <c r="DI84" i="20"/>
  <c r="DJ84" i="20"/>
  <c r="DK84" i="20"/>
  <c r="DL84" i="20"/>
  <c r="DM84" i="20"/>
  <c r="DN84" i="20"/>
  <c r="DO84" i="20"/>
  <c r="DP84" i="20"/>
  <c r="DQ84" i="20"/>
  <c r="DR84" i="20"/>
  <c r="DS84" i="20"/>
  <c r="DT84" i="20"/>
  <c r="DU84" i="20"/>
  <c r="DV84" i="20"/>
  <c r="DW84" i="20"/>
  <c r="DX84" i="20"/>
  <c r="DY84" i="20"/>
  <c r="DZ84" i="20"/>
  <c r="EA84" i="20"/>
  <c r="EB84" i="20"/>
  <c r="EC84" i="20"/>
  <c r="ED84" i="20"/>
  <c r="EE84" i="20"/>
  <c r="EF84" i="20"/>
  <c r="EG84" i="20"/>
  <c r="EH84" i="20"/>
  <c r="EI84" i="20"/>
  <c r="EJ84" i="20"/>
  <c r="EK84" i="20"/>
  <c r="EL84" i="20"/>
  <c r="EM84" i="20"/>
  <c r="EN84" i="20"/>
  <c r="EO84" i="20"/>
  <c r="EP84" i="20"/>
  <c r="EQ84" i="20"/>
  <c r="ER84" i="20"/>
  <c r="ES84" i="20"/>
  <c r="ET84" i="20"/>
  <c r="EU84" i="20"/>
  <c r="EV84" i="20"/>
  <c r="EW84" i="20"/>
  <c r="EX84" i="20"/>
  <c r="EY84" i="20"/>
  <c r="EZ84" i="20"/>
  <c r="FA84" i="20"/>
  <c r="FB84" i="20"/>
  <c r="FC84" i="20"/>
  <c r="FD84" i="20"/>
  <c r="FE84" i="20"/>
  <c r="FF84" i="20"/>
  <c r="FG84" i="20"/>
  <c r="FH84" i="20"/>
  <c r="FI84" i="20"/>
  <c r="FJ84" i="20"/>
  <c r="FK84" i="20"/>
  <c r="FL84" i="20"/>
  <c r="FM84" i="20"/>
  <c r="FN84" i="20"/>
  <c r="FO84" i="20"/>
  <c r="FP84" i="20"/>
  <c r="FQ84" i="20"/>
  <c r="FR84" i="20"/>
  <c r="FS84" i="20"/>
  <c r="FT84" i="20"/>
  <c r="FU84" i="20"/>
  <c r="FV84" i="20"/>
  <c r="FW84" i="20"/>
  <c r="FX84" i="20"/>
  <c r="FY84" i="20"/>
  <c r="FZ84" i="20"/>
  <c r="GA84" i="20"/>
  <c r="GB84" i="20"/>
  <c r="GC84" i="20"/>
  <c r="GD84" i="20"/>
  <c r="GE84" i="20"/>
  <c r="GF84" i="20"/>
  <c r="GG84" i="20"/>
  <c r="GH84" i="20"/>
  <c r="GI84" i="20"/>
  <c r="GJ84" i="20"/>
  <c r="GK84" i="20"/>
  <c r="GL84" i="20"/>
  <c r="GM84" i="20"/>
  <c r="GN84" i="20"/>
  <c r="GO84" i="20"/>
  <c r="GP84" i="20"/>
  <c r="GQ84" i="20"/>
  <c r="GR84" i="20"/>
  <c r="GS84" i="20"/>
  <c r="GT84" i="20"/>
  <c r="GU84" i="20"/>
  <c r="GV84" i="20"/>
  <c r="GW84" i="20"/>
  <c r="GX84" i="20"/>
  <c r="GY84" i="20"/>
  <c r="GZ84" i="20"/>
  <c r="HA84" i="20"/>
  <c r="HB84" i="20"/>
  <c r="HC84" i="20"/>
  <c r="HD84" i="20"/>
  <c r="HE84" i="20"/>
  <c r="HF84" i="20"/>
  <c r="HG84" i="20"/>
  <c r="HH84" i="20"/>
  <c r="HI84" i="20"/>
  <c r="HJ84" i="20"/>
  <c r="HK84" i="20"/>
  <c r="HL84" i="20"/>
  <c r="HM84" i="20"/>
  <c r="HN84" i="20"/>
  <c r="HO84" i="20"/>
  <c r="HP84" i="20"/>
  <c r="HQ84" i="20"/>
  <c r="HR84" i="20"/>
  <c r="HS84" i="20"/>
  <c r="HT84" i="20"/>
  <c r="HU84" i="20"/>
  <c r="HV84" i="20"/>
  <c r="HW84" i="20"/>
  <c r="HX84" i="20"/>
  <c r="HY84" i="20"/>
  <c r="HZ84" i="20"/>
  <c r="IA84" i="20"/>
  <c r="IB84" i="20"/>
  <c r="IC84" i="20"/>
  <c r="ID84" i="20"/>
  <c r="IE84" i="20"/>
  <c r="IF84" i="20"/>
  <c r="IG84" i="20"/>
  <c r="IH84" i="20"/>
  <c r="II84" i="20"/>
  <c r="IJ84" i="20"/>
  <c r="IK84" i="20"/>
  <c r="IL84" i="20"/>
  <c r="IM84" i="20"/>
  <c r="IN84" i="20"/>
  <c r="IO84" i="20"/>
  <c r="IP84" i="20"/>
  <c r="IQ84" i="20"/>
  <c r="IR84" i="20"/>
  <c r="IS84" i="20"/>
  <c r="IT84" i="20"/>
  <c r="IU84" i="20"/>
  <c r="IV84" i="20"/>
  <c r="A83" i="20"/>
  <c r="B83" i="20"/>
  <c r="C83" i="20"/>
  <c r="D83" i="20"/>
  <c r="E83" i="20"/>
  <c r="F83" i="20"/>
  <c r="G83" i="20"/>
  <c r="H83" i="20"/>
  <c r="I83" i="20"/>
  <c r="J83" i="20"/>
  <c r="K83" i="20"/>
  <c r="L83" i="20"/>
  <c r="M83" i="20"/>
  <c r="N83" i="20"/>
  <c r="O83" i="20"/>
  <c r="P83" i="20"/>
  <c r="Q83" i="20"/>
  <c r="R83" i="20"/>
  <c r="S83" i="20"/>
  <c r="T83" i="20"/>
  <c r="U83" i="20"/>
  <c r="V83" i="20"/>
  <c r="W83" i="20"/>
  <c r="X83" i="20"/>
  <c r="Y83" i="20"/>
  <c r="Z83" i="20"/>
  <c r="AA83" i="20"/>
  <c r="AB83" i="20"/>
  <c r="AC83" i="20"/>
  <c r="AD83" i="20"/>
  <c r="AE83" i="20"/>
  <c r="AF83" i="20"/>
  <c r="AG83" i="20"/>
  <c r="AH83" i="20"/>
  <c r="AI83" i="20"/>
  <c r="AJ83" i="20"/>
  <c r="AK83" i="20"/>
  <c r="AL83" i="20"/>
  <c r="AM83" i="20"/>
  <c r="AN83" i="20"/>
  <c r="AO83" i="20"/>
  <c r="AP83" i="20"/>
  <c r="AQ83" i="20"/>
  <c r="AR83" i="20"/>
  <c r="AS83" i="20"/>
  <c r="AT83" i="20"/>
  <c r="AU83" i="20"/>
  <c r="AV83" i="20"/>
  <c r="AW83" i="20"/>
  <c r="AX83" i="20"/>
  <c r="AY83" i="20"/>
  <c r="AZ83" i="20"/>
  <c r="BA83" i="20"/>
  <c r="BB83" i="20"/>
  <c r="BC83" i="20"/>
  <c r="BD83" i="20"/>
  <c r="BE83" i="20"/>
  <c r="BF83" i="20"/>
  <c r="BG83" i="20"/>
  <c r="BH83" i="20"/>
  <c r="BI83" i="20"/>
  <c r="BJ83" i="20"/>
  <c r="BK83" i="20"/>
  <c r="BL83" i="20"/>
  <c r="BM83" i="20"/>
  <c r="BN83" i="20"/>
  <c r="BO83" i="20"/>
  <c r="BP83" i="20"/>
  <c r="BQ83" i="20"/>
  <c r="BR83" i="20"/>
  <c r="BS83" i="20"/>
  <c r="BT83" i="20"/>
  <c r="BU83" i="20"/>
  <c r="BV83" i="20"/>
  <c r="BW83" i="20"/>
  <c r="BX83" i="20"/>
  <c r="BY83" i="20"/>
  <c r="BZ83" i="20"/>
  <c r="CA83" i="20"/>
  <c r="CB83" i="20"/>
  <c r="CC83" i="20"/>
  <c r="CD83" i="20"/>
  <c r="CE83" i="20"/>
  <c r="CF83" i="20"/>
  <c r="CG83" i="20"/>
  <c r="CH83" i="20"/>
  <c r="CI83" i="20"/>
  <c r="CJ83" i="20"/>
  <c r="CK83" i="20"/>
  <c r="CL83" i="20"/>
  <c r="CM83" i="20"/>
  <c r="CN83" i="20"/>
  <c r="CO83" i="20"/>
  <c r="CP83" i="20"/>
  <c r="CQ83" i="20"/>
  <c r="CR83" i="20"/>
  <c r="CS83" i="20"/>
  <c r="CT83" i="20"/>
  <c r="CU83" i="20"/>
  <c r="CV83" i="20"/>
  <c r="CW83" i="20"/>
  <c r="CX83" i="20"/>
  <c r="CY83" i="20"/>
  <c r="CZ83" i="20"/>
  <c r="DA83" i="20"/>
  <c r="DB83" i="20"/>
  <c r="DC83" i="20"/>
  <c r="DD83" i="20"/>
  <c r="DE83" i="20"/>
  <c r="DF83" i="20"/>
  <c r="DG83" i="20"/>
  <c r="DH83" i="20"/>
  <c r="DI83" i="20"/>
  <c r="DJ83" i="20"/>
  <c r="DK83" i="20"/>
  <c r="DL83" i="20"/>
  <c r="DM83" i="20"/>
  <c r="DN83" i="20"/>
  <c r="DO83" i="20"/>
  <c r="DP83" i="20"/>
  <c r="DQ83" i="20"/>
  <c r="DR83" i="20"/>
  <c r="DS83" i="20"/>
  <c r="DT83" i="20"/>
  <c r="DU83" i="20"/>
  <c r="DV83" i="20"/>
  <c r="DW83" i="20"/>
  <c r="DX83" i="20"/>
  <c r="DY83" i="20"/>
  <c r="DZ83" i="20"/>
  <c r="EA83" i="20"/>
  <c r="EB83" i="20"/>
  <c r="EC83" i="20"/>
  <c r="ED83" i="20"/>
  <c r="EE83" i="20"/>
  <c r="EF83" i="20"/>
  <c r="EG83" i="20"/>
  <c r="EH83" i="20"/>
  <c r="EI83" i="20"/>
  <c r="EJ83" i="20"/>
  <c r="EK83" i="20"/>
  <c r="EL83" i="20"/>
  <c r="EM83" i="20"/>
  <c r="EN83" i="20"/>
  <c r="EO83" i="20"/>
  <c r="EP83" i="20"/>
  <c r="EQ83" i="20"/>
  <c r="ER83" i="20"/>
  <c r="ES83" i="20"/>
  <c r="ET83" i="20"/>
  <c r="EU83" i="20"/>
  <c r="EV83" i="20"/>
  <c r="EW83" i="20"/>
  <c r="EX83" i="20"/>
  <c r="EY83" i="20"/>
  <c r="EZ83" i="20"/>
  <c r="FA83" i="20"/>
  <c r="FB83" i="20"/>
  <c r="FC83" i="20"/>
  <c r="FD83" i="20"/>
  <c r="FE83" i="20"/>
  <c r="FF83" i="20"/>
  <c r="FG83" i="20"/>
  <c r="FH83" i="20"/>
  <c r="FI83" i="20"/>
  <c r="FJ83" i="20"/>
  <c r="FK83" i="20"/>
  <c r="FL83" i="20"/>
  <c r="FM83" i="20"/>
  <c r="FN83" i="20"/>
  <c r="FO83" i="20"/>
  <c r="FP83" i="20"/>
  <c r="FQ83" i="20"/>
  <c r="FR83" i="20"/>
  <c r="FS83" i="20"/>
  <c r="FT83" i="20"/>
  <c r="FU83" i="20"/>
  <c r="FV83" i="20"/>
  <c r="FW83" i="20"/>
  <c r="FX83" i="20"/>
  <c r="FY83" i="20"/>
  <c r="FZ83" i="20"/>
  <c r="GA83" i="20"/>
  <c r="GB83" i="20"/>
  <c r="GC83" i="20"/>
  <c r="GD83" i="20"/>
  <c r="GE83" i="20"/>
  <c r="GF83" i="20"/>
  <c r="GG83" i="20"/>
  <c r="GH83" i="20"/>
  <c r="GI83" i="20"/>
  <c r="GJ83" i="20"/>
  <c r="GK83" i="20"/>
  <c r="GL83" i="20"/>
  <c r="GM83" i="20"/>
  <c r="GN83" i="20"/>
  <c r="GO83" i="20"/>
  <c r="GP83" i="20"/>
  <c r="GQ83" i="20"/>
  <c r="GR83" i="20"/>
  <c r="GS83" i="20"/>
  <c r="GT83" i="20"/>
  <c r="GU83" i="20"/>
  <c r="GV83" i="20"/>
  <c r="GW83" i="20"/>
  <c r="GX83" i="20"/>
  <c r="GY83" i="20"/>
  <c r="GZ83" i="20"/>
  <c r="HA83" i="20"/>
  <c r="HB83" i="20"/>
  <c r="HC83" i="20"/>
  <c r="HD83" i="20"/>
  <c r="HE83" i="20"/>
  <c r="HF83" i="20"/>
  <c r="HG83" i="20"/>
  <c r="HH83" i="20"/>
  <c r="HI83" i="20"/>
  <c r="HJ83" i="20"/>
  <c r="HK83" i="20"/>
  <c r="HL83" i="20"/>
  <c r="HM83" i="20"/>
  <c r="HN83" i="20"/>
  <c r="HO83" i="20"/>
  <c r="HP83" i="20"/>
  <c r="HQ83" i="20"/>
  <c r="HR83" i="20"/>
  <c r="HS83" i="20"/>
  <c r="HT83" i="20"/>
  <c r="HU83" i="20"/>
  <c r="HV83" i="20"/>
  <c r="HW83" i="20"/>
  <c r="HX83" i="20"/>
  <c r="HY83" i="20"/>
  <c r="HZ83" i="20"/>
  <c r="IA83" i="20"/>
  <c r="IB83" i="20"/>
  <c r="IC83" i="20"/>
  <c r="ID83" i="20"/>
  <c r="IE83" i="20"/>
  <c r="IF83" i="20"/>
  <c r="IG83" i="20"/>
  <c r="IH83" i="20"/>
  <c r="II83" i="20"/>
  <c r="IJ83" i="20"/>
  <c r="IK83" i="20"/>
  <c r="IL83" i="20"/>
  <c r="IM83" i="20"/>
  <c r="IN83" i="20"/>
  <c r="IO83" i="20"/>
  <c r="IP83" i="20"/>
  <c r="IQ83" i="20"/>
  <c r="IR83" i="20"/>
  <c r="IS83" i="20"/>
  <c r="IT83" i="20"/>
  <c r="IU83" i="20"/>
  <c r="IV83" i="20"/>
  <c r="A82" i="20"/>
  <c r="B82" i="20"/>
  <c r="C82" i="20"/>
  <c r="D82" i="20"/>
  <c r="E82" i="20"/>
  <c r="F82" i="20"/>
  <c r="G82" i="20"/>
  <c r="H82" i="20"/>
  <c r="I82" i="20"/>
  <c r="J82" i="20"/>
  <c r="K82" i="20"/>
  <c r="L82" i="20"/>
  <c r="M82" i="20"/>
  <c r="N82" i="20"/>
  <c r="O82" i="20"/>
  <c r="P82" i="20"/>
  <c r="Q82" i="20"/>
  <c r="R82" i="20"/>
  <c r="S82" i="20"/>
  <c r="T82" i="20"/>
  <c r="U82" i="20"/>
  <c r="V82" i="20"/>
  <c r="W82" i="20"/>
  <c r="X82" i="20"/>
  <c r="Y82" i="20"/>
  <c r="Z82" i="20"/>
  <c r="AA82" i="20"/>
  <c r="AB82" i="20"/>
  <c r="AC82" i="20"/>
  <c r="AD82" i="20"/>
  <c r="AE82" i="20"/>
  <c r="AF82" i="20"/>
  <c r="AG82" i="20"/>
  <c r="AH82" i="20"/>
  <c r="AI82" i="20"/>
  <c r="AJ82" i="20"/>
  <c r="AK82" i="20"/>
  <c r="AL82" i="20"/>
  <c r="AM82" i="20"/>
  <c r="AN82" i="20"/>
  <c r="AO82" i="20"/>
  <c r="AP82" i="20"/>
  <c r="AQ82" i="20"/>
  <c r="AR82" i="20"/>
  <c r="AS82" i="20"/>
  <c r="AT82" i="20"/>
  <c r="AU82" i="20"/>
  <c r="AV82" i="20"/>
  <c r="AW82" i="20"/>
  <c r="AX82" i="20"/>
  <c r="AY82" i="20"/>
  <c r="AZ82" i="20"/>
  <c r="BA82" i="20"/>
  <c r="BB82" i="20"/>
  <c r="BC82" i="20"/>
  <c r="BD82" i="20"/>
  <c r="BE82" i="20"/>
  <c r="BF82" i="20"/>
  <c r="BG82" i="20"/>
  <c r="BH82" i="20"/>
  <c r="BI82" i="20"/>
  <c r="BJ82" i="20"/>
  <c r="BK82" i="20"/>
  <c r="BL82" i="20"/>
  <c r="BM82" i="20"/>
  <c r="BN82" i="20"/>
  <c r="BO82" i="20"/>
  <c r="BP82" i="20"/>
  <c r="BQ82" i="20"/>
  <c r="BR82" i="20"/>
  <c r="BS82" i="20"/>
  <c r="BT82" i="20"/>
  <c r="BU82" i="20"/>
  <c r="BV82" i="20"/>
  <c r="BW82" i="20"/>
  <c r="BX82" i="20"/>
  <c r="BY82" i="20"/>
  <c r="BZ82" i="20"/>
  <c r="CA82" i="20"/>
  <c r="CB82" i="20"/>
  <c r="CC82" i="20"/>
  <c r="CD82" i="20"/>
  <c r="CE82" i="20"/>
  <c r="CF82" i="20"/>
  <c r="CG82" i="20"/>
  <c r="CH82" i="20"/>
  <c r="CI82" i="20"/>
  <c r="CJ82" i="20"/>
  <c r="CK82" i="20"/>
  <c r="CL82" i="20"/>
  <c r="CM82" i="20"/>
  <c r="CN82" i="20"/>
  <c r="CO82" i="20"/>
  <c r="CP82" i="20"/>
  <c r="CQ82" i="20"/>
  <c r="CR82" i="20"/>
  <c r="CS82" i="20"/>
  <c r="CT82" i="20"/>
  <c r="CU82" i="20"/>
  <c r="CV82" i="20"/>
  <c r="CW82" i="20"/>
  <c r="CX82" i="20"/>
  <c r="CY82" i="20"/>
  <c r="CZ82" i="20"/>
  <c r="DA82" i="20"/>
  <c r="DB82" i="20"/>
  <c r="DC82" i="20"/>
  <c r="DD82" i="20"/>
  <c r="DE82" i="20"/>
  <c r="DF82" i="20"/>
  <c r="DG82" i="20"/>
  <c r="DH82" i="20"/>
  <c r="DI82" i="20"/>
  <c r="DJ82" i="20"/>
  <c r="DK82" i="20"/>
  <c r="DL82" i="20"/>
  <c r="DM82" i="20"/>
  <c r="DN82" i="20"/>
  <c r="DO82" i="20"/>
  <c r="DP82" i="20"/>
  <c r="DQ82" i="20"/>
  <c r="DR82" i="20"/>
  <c r="DS82" i="20"/>
  <c r="DT82" i="20"/>
  <c r="DU82" i="20"/>
  <c r="DV82" i="20"/>
  <c r="DW82" i="20"/>
  <c r="DX82" i="20"/>
  <c r="DY82" i="20"/>
  <c r="DZ82" i="20"/>
  <c r="EA82" i="20"/>
  <c r="EB82" i="20"/>
  <c r="EC82" i="20"/>
  <c r="ED82" i="20"/>
  <c r="EE82" i="20"/>
  <c r="EF82" i="20"/>
  <c r="EG82" i="20"/>
  <c r="EH82" i="20"/>
  <c r="EI82" i="20"/>
  <c r="EJ82" i="20"/>
  <c r="EK82" i="20"/>
  <c r="EL82" i="20"/>
  <c r="EM82" i="20"/>
  <c r="EN82" i="20"/>
  <c r="EO82" i="20"/>
  <c r="EP82" i="20"/>
  <c r="EQ82" i="20"/>
  <c r="ER82" i="20"/>
  <c r="ES82" i="20"/>
  <c r="ET82" i="20"/>
  <c r="EU82" i="20"/>
  <c r="EV82" i="20"/>
  <c r="EW82" i="20"/>
  <c r="EX82" i="20"/>
  <c r="EY82" i="20"/>
  <c r="EZ82" i="20"/>
  <c r="FA82" i="20"/>
  <c r="FB82" i="20"/>
  <c r="FC82" i="20"/>
  <c r="FD82" i="20"/>
  <c r="FE82" i="20"/>
  <c r="FF82" i="20"/>
  <c r="FG82" i="20"/>
  <c r="FH82" i="20"/>
  <c r="FI82" i="20"/>
  <c r="FJ82" i="20"/>
  <c r="FK82" i="20"/>
  <c r="FL82" i="20"/>
  <c r="FM82" i="20"/>
  <c r="FN82" i="20"/>
  <c r="FO82" i="20"/>
  <c r="FP82" i="20"/>
  <c r="FQ82" i="20"/>
  <c r="FR82" i="20"/>
  <c r="FS82" i="20"/>
  <c r="FT82" i="20"/>
  <c r="FU82" i="20"/>
  <c r="FV82" i="20"/>
  <c r="FW82" i="20"/>
  <c r="FX82" i="20"/>
  <c r="FY82" i="20"/>
  <c r="FZ82" i="20"/>
  <c r="GA82" i="20"/>
  <c r="GB82" i="20"/>
  <c r="GC82" i="20"/>
  <c r="GD82" i="20"/>
  <c r="GE82" i="20"/>
  <c r="GF82" i="20"/>
  <c r="GG82" i="20"/>
  <c r="GH82" i="20"/>
  <c r="GI82" i="20"/>
  <c r="GJ82" i="20"/>
  <c r="GK82" i="20"/>
  <c r="GL82" i="20"/>
  <c r="GM82" i="20"/>
  <c r="GN82" i="20"/>
  <c r="GO82" i="20"/>
  <c r="GP82" i="20"/>
  <c r="GQ82" i="20"/>
  <c r="GR82" i="20"/>
  <c r="GS82" i="20"/>
  <c r="GT82" i="20"/>
  <c r="GU82" i="20"/>
  <c r="GV82" i="20"/>
  <c r="GW82" i="20"/>
  <c r="GX82" i="20"/>
  <c r="GY82" i="20"/>
  <c r="GZ82" i="20"/>
  <c r="HA82" i="20"/>
  <c r="HB82" i="20"/>
  <c r="HC82" i="20"/>
  <c r="HD82" i="20"/>
  <c r="HE82" i="20"/>
  <c r="HF82" i="20"/>
  <c r="HG82" i="20"/>
  <c r="HH82" i="20"/>
  <c r="HI82" i="20"/>
  <c r="HJ82" i="20"/>
  <c r="HK82" i="20"/>
  <c r="HL82" i="20"/>
  <c r="HM82" i="20"/>
  <c r="HN82" i="20"/>
  <c r="HO82" i="20"/>
  <c r="HP82" i="20"/>
  <c r="HQ82" i="20"/>
  <c r="HR82" i="20"/>
  <c r="HS82" i="20"/>
  <c r="HT82" i="20"/>
  <c r="HU82" i="20"/>
  <c r="HV82" i="20"/>
  <c r="HW82" i="20"/>
  <c r="HX82" i="20"/>
  <c r="HY82" i="20"/>
  <c r="HZ82" i="20"/>
  <c r="IA82" i="20"/>
  <c r="IB82" i="20"/>
  <c r="IC82" i="20"/>
  <c r="ID82" i="20"/>
  <c r="IE82" i="20"/>
  <c r="IF82" i="20"/>
  <c r="IG82" i="20"/>
  <c r="IH82" i="20"/>
  <c r="II82" i="20"/>
  <c r="IJ82" i="20"/>
  <c r="IK82" i="20"/>
  <c r="IL82" i="20"/>
  <c r="IM82" i="20"/>
  <c r="IN82" i="20"/>
  <c r="IO82" i="20"/>
  <c r="IP82" i="20"/>
  <c r="IQ82" i="20"/>
  <c r="IR82" i="20"/>
  <c r="IS82" i="20"/>
  <c r="IT82" i="20"/>
  <c r="IU82" i="20"/>
  <c r="IV82" i="20"/>
  <c r="A81" i="20"/>
  <c r="B81" i="20"/>
  <c r="C81" i="20"/>
  <c r="D81" i="20"/>
  <c r="E81" i="20"/>
  <c r="F81" i="20"/>
  <c r="G81" i="20"/>
  <c r="H81" i="20"/>
  <c r="I81" i="20"/>
  <c r="J81" i="20"/>
  <c r="K81" i="20"/>
  <c r="L81" i="20"/>
  <c r="M81" i="20"/>
  <c r="N81" i="20"/>
  <c r="O81" i="20"/>
  <c r="P81" i="20"/>
  <c r="Q81" i="20"/>
  <c r="R81" i="20"/>
  <c r="S81" i="20"/>
  <c r="T81" i="20"/>
  <c r="U81" i="20"/>
  <c r="V81" i="20"/>
  <c r="W81" i="20"/>
  <c r="X81" i="20"/>
  <c r="Y81" i="20"/>
  <c r="Z81" i="20"/>
  <c r="AA81" i="20"/>
  <c r="AB81" i="20"/>
  <c r="AC81" i="20"/>
  <c r="AD81" i="20"/>
  <c r="AE81" i="20"/>
  <c r="AF81" i="20"/>
  <c r="AG81" i="20"/>
  <c r="AH81" i="20"/>
  <c r="AI81" i="20"/>
  <c r="AJ81" i="20"/>
  <c r="AK81" i="20"/>
  <c r="AL81" i="20"/>
  <c r="AM81" i="20"/>
  <c r="AN81" i="20"/>
  <c r="AO81" i="20"/>
  <c r="AP81" i="20"/>
  <c r="AQ81" i="20"/>
  <c r="AR81" i="20"/>
  <c r="AS81" i="20"/>
  <c r="AT81" i="20"/>
  <c r="AU81" i="20"/>
  <c r="AV81" i="20"/>
  <c r="AW81" i="20"/>
  <c r="AX81" i="20"/>
  <c r="AY81" i="20"/>
  <c r="AZ81" i="20"/>
  <c r="BA81" i="20"/>
  <c r="BB81" i="20"/>
  <c r="BC81" i="20"/>
  <c r="BD81" i="20"/>
  <c r="BE81" i="20"/>
  <c r="BF81" i="20"/>
  <c r="BG81" i="20"/>
  <c r="BH81" i="20"/>
  <c r="BI81" i="20"/>
  <c r="BJ81" i="20"/>
  <c r="BK81" i="20"/>
  <c r="BL81" i="20"/>
  <c r="BM81" i="20"/>
  <c r="BN81" i="20"/>
  <c r="BO81" i="20"/>
  <c r="BP81" i="20"/>
  <c r="BQ81" i="20"/>
  <c r="BR81" i="20"/>
  <c r="BS81" i="20"/>
  <c r="BT81" i="20"/>
  <c r="BU81" i="20"/>
  <c r="BV81" i="20"/>
  <c r="BW81" i="20"/>
  <c r="BX81" i="20"/>
  <c r="BY81" i="20"/>
  <c r="BZ81" i="20"/>
  <c r="CA81" i="20"/>
  <c r="CB81" i="20"/>
  <c r="CC81" i="20"/>
  <c r="CD81" i="20"/>
  <c r="CE81" i="20"/>
  <c r="CF81" i="20"/>
  <c r="CG81" i="20"/>
  <c r="CH81" i="20"/>
  <c r="CI81" i="20"/>
  <c r="CJ81" i="20"/>
  <c r="CK81" i="20"/>
  <c r="CL81" i="20"/>
  <c r="CM81" i="20"/>
  <c r="CN81" i="20"/>
  <c r="CO81" i="20"/>
  <c r="CP81" i="20"/>
  <c r="CQ81" i="20"/>
  <c r="CR81" i="20"/>
  <c r="CS81" i="20"/>
  <c r="CT81" i="20"/>
  <c r="CU81" i="20"/>
  <c r="CV81" i="20"/>
  <c r="CW81" i="20"/>
  <c r="CX81" i="20"/>
  <c r="CY81" i="20"/>
  <c r="CZ81" i="20"/>
  <c r="DA81" i="20"/>
  <c r="DB81" i="20"/>
  <c r="DC81" i="20"/>
  <c r="DD81" i="20"/>
  <c r="DE81" i="20"/>
  <c r="DF81" i="20"/>
  <c r="DG81" i="20"/>
  <c r="DH81" i="20"/>
  <c r="DI81" i="20"/>
  <c r="DJ81" i="20"/>
  <c r="DK81" i="20"/>
  <c r="DL81" i="20"/>
  <c r="DM81" i="20"/>
  <c r="DN81" i="20"/>
  <c r="DO81" i="20"/>
  <c r="DP81" i="20"/>
  <c r="DQ81" i="20"/>
  <c r="DR81" i="20"/>
  <c r="DS81" i="20"/>
  <c r="DT81" i="20"/>
  <c r="DU81" i="20"/>
  <c r="DV81" i="20"/>
  <c r="DW81" i="20"/>
  <c r="DX81" i="20"/>
  <c r="DY81" i="20"/>
  <c r="DZ81" i="20"/>
  <c r="EA81" i="20"/>
  <c r="EB81" i="20"/>
  <c r="EC81" i="20"/>
  <c r="ED81" i="20"/>
  <c r="EE81" i="20"/>
  <c r="EF81" i="20"/>
  <c r="EG81" i="20"/>
  <c r="EH81" i="20"/>
  <c r="EI81" i="20"/>
  <c r="EJ81" i="20"/>
  <c r="EK81" i="20"/>
  <c r="EL81" i="20"/>
  <c r="EM81" i="20"/>
  <c r="EN81" i="20"/>
  <c r="EO81" i="20"/>
  <c r="EP81" i="20"/>
  <c r="EQ81" i="20"/>
  <c r="ER81" i="20"/>
  <c r="ES81" i="20"/>
  <c r="ET81" i="20"/>
  <c r="EU81" i="20"/>
  <c r="EV81" i="20"/>
  <c r="EW81" i="20"/>
  <c r="EX81" i="20"/>
  <c r="EY81" i="20"/>
  <c r="EZ81" i="20"/>
  <c r="FA81" i="20"/>
  <c r="FB81" i="20"/>
  <c r="FC81" i="20"/>
  <c r="FD81" i="20"/>
  <c r="FE81" i="20"/>
  <c r="FF81" i="20"/>
  <c r="FG81" i="20"/>
  <c r="FH81" i="20"/>
  <c r="FI81" i="20"/>
  <c r="FJ81" i="20"/>
  <c r="FK81" i="20"/>
  <c r="FL81" i="20"/>
  <c r="FM81" i="20"/>
  <c r="FN81" i="20"/>
  <c r="FO81" i="20"/>
  <c r="FP81" i="20"/>
  <c r="FQ81" i="20"/>
  <c r="FR81" i="20"/>
  <c r="FS81" i="20"/>
  <c r="FT81" i="20"/>
  <c r="FU81" i="20"/>
  <c r="FV81" i="20"/>
  <c r="FW81" i="20"/>
  <c r="FX81" i="20"/>
  <c r="FY81" i="20"/>
  <c r="FZ81" i="20"/>
  <c r="GA81" i="20"/>
  <c r="GB81" i="20"/>
  <c r="GC81" i="20"/>
  <c r="GD81" i="20"/>
  <c r="GE81" i="20"/>
  <c r="GF81" i="20"/>
  <c r="GG81" i="20"/>
  <c r="GH81" i="20"/>
  <c r="GI81" i="20"/>
  <c r="GJ81" i="20"/>
  <c r="GK81" i="20"/>
  <c r="GL81" i="20"/>
  <c r="GM81" i="20"/>
  <c r="GN81" i="20"/>
  <c r="GO81" i="20"/>
  <c r="GP81" i="20"/>
  <c r="GQ81" i="20"/>
  <c r="GR81" i="20"/>
  <c r="GS81" i="20"/>
  <c r="GT81" i="20"/>
  <c r="GU81" i="20"/>
  <c r="GV81" i="20"/>
  <c r="GW81" i="20"/>
  <c r="GX81" i="20"/>
  <c r="GY81" i="20"/>
  <c r="GZ81" i="20"/>
  <c r="HA81" i="20"/>
  <c r="HB81" i="20"/>
  <c r="HC81" i="20"/>
  <c r="HD81" i="20"/>
  <c r="HE81" i="20"/>
  <c r="HF81" i="20"/>
  <c r="HG81" i="20"/>
  <c r="HH81" i="20"/>
  <c r="HI81" i="20"/>
  <c r="HJ81" i="20"/>
  <c r="HK81" i="20"/>
  <c r="HL81" i="20"/>
  <c r="HM81" i="20"/>
  <c r="HN81" i="20"/>
  <c r="HO81" i="20"/>
  <c r="HP81" i="20"/>
  <c r="HQ81" i="20"/>
  <c r="HR81" i="20"/>
  <c r="HS81" i="20"/>
  <c r="HT81" i="20"/>
  <c r="HU81" i="20"/>
  <c r="HV81" i="20"/>
  <c r="HW81" i="20"/>
  <c r="HX81" i="20"/>
  <c r="HY81" i="20"/>
  <c r="HZ81" i="20"/>
  <c r="IA81" i="20"/>
  <c r="IB81" i="20"/>
  <c r="IC81" i="20"/>
  <c r="ID81" i="20"/>
  <c r="IE81" i="20"/>
  <c r="IF81" i="20"/>
  <c r="IG81" i="20"/>
  <c r="IH81" i="20"/>
  <c r="II81" i="20"/>
  <c r="IJ81" i="20"/>
  <c r="IK81" i="20"/>
  <c r="IL81" i="20"/>
  <c r="IM81" i="20"/>
  <c r="IN81" i="20"/>
  <c r="IO81" i="20"/>
  <c r="IP81" i="20"/>
  <c r="IQ81" i="20"/>
  <c r="IR81" i="20"/>
  <c r="IS81" i="20"/>
  <c r="IT81" i="20"/>
  <c r="IU81" i="20"/>
  <c r="IV81" i="20"/>
  <c r="A80" i="20"/>
  <c r="B80" i="20"/>
  <c r="C80" i="20"/>
  <c r="D80" i="20"/>
  <c r="E80" i="20"/>
  <c r="F80" i="20"/>
  <c r="G80" i="20"/>
  <c r="H80" i="20"/>
  <c r="I80" i="20"/>
  <c r="J80" i="20"/>
  <c r="K80" i="20"/>
  <c r="L80" i="20"/>
  <c r="M80" i="20"/>
  <c r="N80" i="20"/>
  <c r="O80" i="20"/>
  <c r="P80" i="20"/>
  <c r="Q80" i="20"/>
  <c r="R80" i="20"/>
  <c r="S80" i="20"/>
  <c r="T80" i="20"/>
  <c r="U80" i="20"/>
  <c r="V80" i="20"/>
  <c r="W80" i="20"/>
  <c r="X80" i="20"/>
  <c r="Y80" i="20"/>
  <c r="Z80" i="20"/>
  <c r="AA80" i="20"/>
  <c r="AB80" i="20"/>
  <c r="AC80" i="20"/>
  <c r="AD80" i="20"/>
  <c r="AE80" i="20"/>
  <c r="AF80" i="20"/>
  <c r="AG80" i="20"/>
  <c r="AH80" i="20"/>
  <c r="AI80" i="20"/>
  <c r="AJ80" i="20"/>
  <c r="AK80" i="20"/>
  <c r="AL80" i="20"/>
  <c r="AM80" i="20"/>
  <c r="AN80" i="20"/>
  <c r="AO80" i="20"/>
  <c r="AP80" i="20"/>
  <c r="AQ80" i="20"/>
  <c r="AR80" i="20"/>
  <c r="AS80" i="20"/>
  <c r="AT80" i="20"/>
  <c r="AU80" i="20"/>
  <c r="AV80" i="20"/>
  <c r="AW80" i="20"/>
  <c r="AX80" i="20"/>
  <c r="AY80" i="20"/>
  <c r="AZ80" i="20"/>
  <c r="BA80" i="20"/>
  <c r="BB80" i="20"/>
  <c r="BC80" i="20"/>
  <c r="BD80" i="20"/>
  <c r="BE80" i="20"/>
  <c r="BF80" i="20"/>
  <c r="BG80" i="20"/>
  <c r="BH80" i="20"/>
  <c r="BI80" i="20"/>
  <c r="BJ80" i="20"/>
  <c r="BK80" i="20"/>
  <c r="BL80" i="20"/>
  <c r="BM80" i="20"/>
  <c r="BN80" i="20"/>
  <c r="BO80" i="20"/>
  <c r="BP80" i="20"/>
  <c r="BQ80" i="20"/>
  <c r="BR80" i="20"/>
  <c r="BS80" i="20"/>
  <c r="BT80" i="20"/>
  <c r="BU80" i="20"/>
  <c r="BV80" i="20"/>
  <c r="BW80" i="20"/>
  <c r="BX80" i="20"/>
  <c r="BY80" i="20"/>
  <c r="BZ80" i="20"/>
  <c r="CA80" i="20"/>
  <c r="CB80" i="20"/>
  <c r="CC80" i="20"/>
  <c r="CD80" i="20"/>
  <c r="CE80" i="20"/>
  <c r="CF80" i="20"/>
  <c r="CG80" i="20"/>
  <c r="CH80" i="20"/>
  <c r="CI80" i="20"/>
  <c r="CJ80" i="20"/>
  <c r="CK80" i="20"/>
  <c r="CL80" i="20"/>
  <c r="CM80" i="20"/>
  <c r="CN80" i="20"/>
  <c r="CO80" i="20"/>
  <c r="CP80" i="20"/>
  <c r="CQ80" i="20"/>
  <c r="CR80" i="20"/>
  <c r="CS80" i="20"/>
  <c r="CT80" i="20"/>
  <c r="CU80" i="20"/>
  <c r="CV80" i="20"/>
  <c r="CW80" i="20"/>
  <c r="CX80" i="20"/>
  <c r="CY80" i="20"/>
  <c r="CZ80" i="20"/>
  <c r="DA80" i="20"/>
  <c r="DB80" i="20"/>
  <c r="DC80" i="20"/>
  <c r="DD80" i="20"/>
  <c r="DE80" i="20"/>
  <c r="DF80" i="20"/>
  <c r="DG80" i="20"/>
  <c r="DH80" i="20"/>
  <c r="DI80" i="20"/>
  <c r="DJ80" i="20"/>
  <c r="DK80" i="20"/>
  <c r="DL80" i="20"/>
  <c r="DM80" i="20"/>
  <c r="DN80" i="20"/>
  <c r="DO80" i="20"/>
  <c r="DP80" i="20"/>
  <c r="DQ80" i="20"/>
  <c r="DR80" i="20"/>
  <c r="DS80" i="20"/>
  <c r="DT80" i="20"/>
  <c r="DU80" i="20"/>
  <c r="DV80" i="20"/>
  <c r="DW80" i="20"/>
  <c r="DX80" i="20"/>
  <c r="DY80" i="20"/>
  <c r="DZ80" i="20"/>
  <c r="EA80" i="20"/>
  <c r="EB80" i="20"/>
  <c r="EC80" i="20"/>
  <c r="ED80" i="20"/>
  <c r="EE80" i="20"/>
  <c r="EF80" i="20"/>
  <c r="EG80" i="20"/>
  <c r="EH80" i="20"/>
  <c r="EI80" i="20"/>
  <c r="EJ80" i="20"/>
  <c r="EK80" i="20"/>
  <c r="EL80" i="20"/>
  <c r="EM80" i="20"/>
  <c r="EN80" i="20"/>
  <c r="EO80" i="20"/>
  <c r="EP80" i="20"/>
  <c r="EQ80" i="20"/>
  <c r="ER80" i="20"/>
  <c r="ES80" i="20"/>
  <c r="ET80" i="20"/>
  <c r="EU80" i="20"/>
  <c r="EV80" i="20"/>
  <c r="EW80" i="20"/>
  <c r="EX80" i="20"/>
  <c r="EY80" i="20"/>
  <c r="EZ80" i="20"/>
  <c r="FA80" i="20"/>
  <c r="FB80" i="20"/>
  <c r="FC80" i="20"/>
  <c r="FD80" i="20"/>
  <c r="FE80" i="20"/>
  <c r="FF80" i="20"/>
  <c r="FG80" i="20"/>
  <c r="FH80" i="20"/>
  <c r="FI80" i="20"/>
  <c r="FJ80" i="20"/>
  <c r="FK80" i="20"/>
  <c r="FL80" i="20"/>
  <c r="FM80" i="20"/>
  <c r="FN80" i="20"/>
  <c r="FO80" i="20"/>
  <c r="FP80" i="20"/>
  <c r="FQ80" i="20"/>
  <c r="FR80" i="20"/>
  <c r="FS80" i="20"/>
  <c r="FT80" i="20"/>
  <c r="FU80" i="20"/>
  <c r="FV80" i="20"/>
  <c r="FW80" i="20"/>
  <c r="FX80" i="20"/>
  <c r="FY80" i="20"/>
  <c r="FZ80" i="20"/>
  <c r="GA80" i="20"/>
  <c r="GB80" i="20"/>
  <c r="GC80" i="20"/>
  <c r="GD80" i="20"/>
  <c r="GE80" i="20"/>
  <c r="GF80" i="20"/>
  <c r="GG80" i="20"/>
  <c r="GH80" i="20"/>
  <c r="GI80" i="20"/>
  <c r="GJ80" i="20"/>
  <c r="GK80" i="20"/>
  <c r="GL80" i="20"/>
  <c r="GM80" i="20"/>
  <c r="GN80" i="20"/>
  <c r="GO80" i="20"/>
  <c r="GP80" i="20"/>
  <c r="GQ80" i="20"/>
  <c r="GR80" i="20"/>
  <c r="GS80" i="20"/>
  <c r="GT80" i="20"/>
  <c r="GU80" i="20"/>
  <c r="GV80" i="20"/>
  <c r="GW80" i="20"/>
  <c r="GX80" i="20"/>
  <c r="GY80" i="20"/>
  <c r="GZ80" i="20"/>
  <c r="HA80" i="20"/>
  <c r="HB80" i="20"/>
  <c r="HC80" i="20"/>
  <c r="HD80" i="20"/>
  <c r="HE80" i="20"/>
  <c r="HF80" i="20"/>
  <c r="HG80" i="20"/>
  <c r="HH80" i="20"/>
  <c r="HI80" i="20"/>
  <c r="HJ80" i="20"/>
  <c r="HK80" i="20"/>
  <c r="HL80" i="20"/>
  <c r="HM80" i="20"/>
  <c r="HN80" i="20"/>
  <c r="HO80" i="20"/>
  <c r="HP80" i="20"/>
  <c r="HQ80" i="20"/>
  <c r="HR80" i="20"/>
  <c r="HS80" i="20"/>
  <c r="HT80" i="20"/>
  <c r="HU80" i="20"/>
  <c r="HV80" i="20"/>
  <c r="HW80" i="20"/>
  <c r="HX80" i="20"/>
  <c r="HY80" i="20"/>
  <c r="HZ80" i="20"/>
  <c r="IA80" i="20"/>
  <c r="IB80" i="20"/>
  <c r="IC80" i="20"/>
  <c r="ID80" i="20"/>
  <c r="IE80" i="20"/>
  <c r="IF80" i="20"/>
  <c r="IG80" i="20"/>
  <c r="IH80" i="20"/>
  <c r="II80" i="20"/>
  <c r="IJ80" i="20"/>
  <c r="IK80" i="20"/>
  <c r="IL80" i="20"/>
  <c r="IM80" i="20"/>
  <c r="IN80" i="20"/>
  <c r="IO80" i="20"/>
  <c r="IP80" i="20"/>
  <c r="IQ80" i="20"/>
  <c r="IR80" i="20"/>
  <c r="IS80" i="20"/>
  <c r="IT80" i="20"/>
  <c r="IU80" i="20"/>
  <c r="IV80" i="20"/>
  <c r="A79" i="20"/>
  <c r="B79" i="20"/>
  <c r="C79" i="20"/>
  <c r="D79" i="20"/>
  <c r="E79" i="20"/>
  <c r="F79" i="20"/>
  <c r="G79" i="20"/>
  <c r="H79" i="20"/>
  <c r="I79" i="20"/>
  <c r="J79" i="20"/>
  <c r="K79" i="20"/>
  <c r="L79" i="20"/>
  <c r="M79" i="20"/>
  <c r="N79" i="20"/>
  <c r="O79" i="20"/>
  <c r="P79" i="20"/>
  <c r="Q79" i="20"/>
  <c r="R79" i="20"/>
  <c r="S79" i="20"/>
  <c r="T79" i="20"/>
  <c r="U79" i="20"/>
  <c r="V79" i="20"/>
  <c r="W79" i="20"/>
  <c r="X79" i="20"/>
  <c r="Y79" i="20"/>
  <c r="Z79" i="20"/>
  <c r="AA79" i="20"/>
  <c r="AB79" i="20"/>
  <c r="AC79" i="20"/>
  <c r="AD79" i="20"/>
  <c r="AE79" i="20"/>
  <c r="AF79" i="20"/>
  <c r="AG79" i="20"/>
  <c r="AH79" i="20"/>
  <c r="AI79" i="20"/>
  <c r="AJ79" i="20"/>
  <c r="AK79" i="20"/>
  <c r="AL79" i="20"/>
  <c r="AM79" i="20"/>
  <c r="AN79" i="20"/>
  <c r="AO79" i="20"/>
  <c r="AP79" i="20"/>
  <c r="AQ79" i="20"/>
  <c r="AR79" i="20"/>
  <c r="AS79" i="20"/>
  <c r="AT79" i="20"/>
  <c r="AU79" i="20"/>
  <c r="AV79" i="20"/>
  <c r="AW79" i="20"/>
  <c r="AX79" i="20"/>
  <c r="AY79" i="20"/>
  <c r="AZ79" i="20"/>
  <c r="BA79" i="20"/>
  <c r="BB79" i="20"/>
  <c r="BC79" i="20"/>
  <c r="BD79" i="20"/>
  <c r="BE79" i="20"/>
  <c r="BF79" i="20"/>
  <c r="BG79" i="20"/>
  <c r="BH79" i="20"/>
  <c r="BI79" i="20"/>
  <c r="BJ79" i="20"/>
  <c r="BK79" i="20"/>
  <c r="BL79" i="20"/>
  <c r="BM79" i="20"/>
  <c r="BN79" i="20"/>
  <c r="BO79" i="20"/>
  <c r="BP79" i="20"/>
  <c r="BQ79" i="20"/>
  <c r="BR79" i="20"/>
  <c r="BS79" i="20"/>
  <c r="BT79" i="20"/>
  <c r="BU79" i="20"/>
  <c r="BV79" i="20"/>
  <c r="BW79" i="20"/>
  <c r="BX79" i="20"/>
  <c r="BY79" i="20"/>
  <c r="BZ79" i="20"/>
  <c r="CA79" i="20"/>
  <c r="CB79" i="20"/>
  <c r="CC79" i="20"/>
  <c r="CD79" i="20"/>
  <c r="CE79" i="20"/>
  <c r="CF79" i="20"/>
  <c r="CG79" i="20"/>
  <c r="CH79" i="20"/>
  <c r="CI79" i="20"/>
  <c r="CJ79" i="20"/>
  <c r="CK79" i="20"/>
  <c r="CL79" i="20"/>
  <c r="CM79" i="20"/>
  <c r="CN79" i="20"/>
  <c r="CO79" i="20"/>
  <c r="CP79" i="20"/>
  <c r="CQ79" i="20"/>
  <c r="CR79" i="20"/>
  <c r="CS79" i="20"/>
  <c r="CT79" i="20"/>
  <c r="CU79" i="20"/>
  <c r="CV79" i="20"/>
  <c r="CW79" i="20"/>
  <c r="CX79" i="20"/>
  <c r="CY79" i="20"/>
  <c r="CZ79" i="20"/>
  <c r="DA79" i="20"/>
  <c r="DB79" i="20"/>
  <c r="DC79" i="20"/>
  <c r="DD79" i="20"/>
  <c r="DE79" i="20"/>
  <c r="DF79" i="20"/>
  <c r="DG79" i="20"/>
  <c r="DH79" i="20"/>
  <c r="DI79" i="20"/>
  <c r="DJ79" i="20"/>
  <c r="DK79" i="20"/>
  <c r="DL79" i="20"/>
  <c r="DM79" i="20"/>
  <c r="DN79" i="20"/>
  <c r="DO79" i="20"/>
  <c r="DP79" i="20"/>
  <c r="DQ79" i="20"/>
  <c r="DR79" i="20"/>
  <c r="DS79" i="20"/>
  <c r="DT79" i="20"/>
  <c r="DU79" i="20"/>
  <c r="DV79" i="20"/>
  <c r="DW79" i="20"/>
  <c r="DX79" i="20"/>
  <c r="DY79" i="20"/>
  <c r="DZ79" i="20"/>
  <c r="EA79" i="20"/>
  <c r="EB79" i="20"/>
  <c r="EC79" i="20"/>
  <c r="ED79" i="20"/>
  <c r="EE79" i="20"/>
  <c r="EF79" i="20"/>
  <c r="EG79" i="20"/>
  <c r="EH79" i="20"/>
  <c r="EI79" i="20"/>
  <c r="EJ79" i="20"/>
  <c r="EK79" i="20"/>
  <c r="EL79" i="20"/>
  <c r="EM79" i="20"/>
  <c r="EN79" i="20"/>
  <c r="EO79" i="20"/>
  <c r="EP79" i="20"/>
  <c r="EQ79" i="20"/>
  <c r="ER79" i="20"/>
  <c r="ES79" i="20"/>
  <c r="ET79" i="20"/>
  <c r="EU79" i="20"/>
  <c r="EV79" i="20"/>
  <c r="EW79" i="20"/>
  <c r="EX79" i="20"/>
  <c r="EY79" i="20"/>
  <c r="EZ79" i="20"/>
  <c r="FA79" i="20"/>
  <c r="FB79" i="20"/>
  <c r="FC79" i="20"/>
  <c r="FD79" i="20"/>
  <c r="FE79" i="20"/>
  <c r="FF79" i="20"/>
  <c r="FG79" i="20"/>
  <c r="FH79" i="20"/>
  <c r="FI79" i="20"/>
  <c r="FJ79" i="20"/>
  <c r="FK79" i="20"/>
  <c r="FL79" i="20"/>
  <c r="FM79" i="20"/>
  <c r="FN79" i="20"/>
  <c r="FO79" i="20"/>
  <c r="FP79" i="20"/>
  <c r="FQ79" i="20"/>
  <c r="FR79" i="20"/>
  <c r="FS79" i="20"/>
  <c r="FT79" i="20"/>
  <c r="FU79" i="20"/>
  <c r="FV79" i="20"/>
  <c r="FW79" i="20"/>
  <c r="FX79" i="20"/>
  <c r="FY79" i="20"/>
  <c r="FZ79" i="20"/>
  <c r="GA79" i="20"/>
  <c r="GB79" i="20"/>
  <c r="GC79" i="20"/>
  <c r="GD79" i="20"/>
  <c r="GE79" i="20"/>
  <c r="GF79" i="20"/>
  <c r="GG79" i="20"/>
  <c r="GH79" i="20"/>
  <c r="GI79" i="20"/>
  <c r="GJ79" i="20"/>
  <c r="GK79" i="20"/>
  <c r="GL79" i="20"/>
  <c r="GM79" i="20"/>
  <c r="GN79" i="20"/>
  <c r="GO79" i="20"/>
  <c r="GP79" i="20"/>
  <c r="GQ79" i="20"/>
  <c r="GR79" i="20"/>
  <c r="GS79" i="20"/>
  <c r="GT79" i="20"/>
  <c r="GU79" i="20"/>
  <c r="GV79" i="20"/>
  <c r="GW79" i="20"/>
  <c r="GX79" i="20"/>
  <c r="GY79" i="20"/>
  <c r="GZ79" i="20"/>
  <c r="HA79" i="20"/>
  <c r="HB79" i="20"/>
  <c r="HC79" i="20"/>
  <c r="HD79" i="20"/>
  <c r="HE79" i="20"/>
  <c r="HF79" i="20"/>
  <c r="HG79" i="20"/>
  <c r="HH79" i="20"/>
  <c r="HI79" i="20"/>
  <c r="HJ79" i="20"/>
  <c r="HK79" i="20"/>
  <c r="HL79" i="20"/>
  <c r="HM79" i="20"/>
  <c r="HN79" i="20"/>
  <c r="HO79" i="20"/>
  <c r="HP79" i="20"/>
  <c r="HQ79" i="20"/>
  <c r="HR79" i="20"/>
  <c r="HS79" i="20"/>
  <c r="HT79" i="20"/>
  <c r="HU79" i="20"/>
  <c r="HV79" i="20"/>
  <c r="HW79" i="20"/>
  <c r="HX79" i="20"/>
  <c r="HY79" i="20"/>
  <c r="HZ79" i="20"/>
  <c r="IA79" i="20"/>
  <c r="IB79" i="20"/>
  <c r="IC79" i="20"/>
  <c r="ID79" i="20"/>
  <c r="IE79" i="20"/>
  <c r="IF79" i="20"/>
  <c r="IG79" i="20"/>
  <c r="IH79" i="20"/>
  <c r="II79" i="20"/>
  <c r="IJ79" i="20"/>
  <c r="IK79" i="20"/>
  <c r="IL79" i="20"/>
  <c r="IM79" i="20"/>
  <c r="IN79" i="20"/>
  <c r="IO79" i="20"/>
  <c r="IP79" i="20"/>
  <c r="IQ79" i="20"/>
  <c r="IR79" i="20"/>
  <c r="IS79" i="20"/>
  <c r="IT79" i="20"/>
  <c r="IU79" i="20"/>
  <c r="IV79" i="20"/>
  <c r="A78" i="20"/>
  <c r="B78" i="20"/>
  <c r="C78" i="20"/>
  <c r="D78" i="20"/>
  <c r="E78" i="20"/>
  <c r="F78" i="20"/>
  <c r="G78" i="20"/>
  <c r="H78" i="20"/>
  <c r="I78" i="20"/>
  <c r="J78" i="20"/>
  <c r="K78" i="20"/>
  <c r="L78" i="20"/>
  <c r="M78" i="20"/>
  <c r="N78" i="20"/>
  <c r="O78" i="20"/>
  <c r="P78" i="20"/>
  <c r="Q78" i="20"/>
  <c r="R78" i="20"/>
  <c r="S78" i="20"/>
  <c r="T78" i="20"/>
  <c r="U78" i="20"/>
  <c r="V78" i="20"/>
  <c r="W78" i="20"/>
  <c r="X78" i="20"/>
  <c r="Y78" i="20"/>
  <c r="Z78" i="20"/>
  <c r="AA78" i="20"/>
  <c r="AB78" i="20"/>
  <c r="AC78" i="20"/>
  <c r="AD78" i="20"/>
  <c r="AE78" i="20"/>
  <c r="AF78" i="20"/>
  <c r="AG78" i="20"/>
  <c r="AH78" i="20"/>
  <c r="AI78" i="20"/>
  <c r="AJ78" i="20"/>
  <c r="AK78" i="20"/>
  <c r="AL78" i="20"/>
  <c r="AM78" i="20"/>
  <c r="AN78" i="20"/>
  <c r="AO78" i="20"/>
  <c r="AP78" i="20"/>
  <c r="AQ78" i="20"/>
  <c r="AR78" i="20"/>
  <c r="AS78" i="20"/>
  <c r="AT78" i="20"/>
  <c r="AU78" i="20"/>
  <c r="AV78" i="20"/>
  <c r="AW78" i="20"/>
  <c r="AX78" i="20"/>
  <c r="AY78" i="20"/>
  <c r="AZ78" i="20"/>
  <c r="BA78" i="20"/>
  <c r="BB78" i="20"/>
  <c r="BC78" i="20"/>
  <c r="BD78" i="20"/>
  <c r="BE78" i="20"/>
  <c r="BF78" i="20"/>
  <c r="BG78" i="20"/>
  <c r="BH78" i="20"/>
  <c r="BI78" i="20"/>
  <c r="BJ78" i="20"/>
  <c r="BK78" i="20"/>
  <c r="BL78" i="20"/>
  <c r="BM78" i="20"/>
  <c r="BN78" i="20"/>
  <c r="BO78" i="20"/>
  <c r="BP78" i="20"/>
  <c r="BQ78" i="20"/>
  <c r="BR78" i="20"/>
  <c r="BS78" i="20"/>
  <c r="BT78" i="20"/>
  <c r="BU78" i="20"/>
  <c r="BV78" i="20"/>
  <c r="BW78" i="20"/>
  <c r="BX78" i="20"/>
  <c r="BY78" i="20"/>
  <c r="BZ78" i="20"/>
  <c r="CA78" i="20"/>
  <c r="CB78" i="20"/>
  <c r="CC78" i="20"/>
  <c r="CD78" i="20"/>
  <c r="CE78" i="20"/>
  <c r="CF78" i="20"/>
  <c r="CG78" i="20"/>
  <c r="CH78" i="20"/>
  <c r="CI78" i="20"/>
  <c r="CJ78" i="20"/>
  <c r="CK78" i="20"/>
  <c r="CL78" i="20"/>
  <c r="CM78" i="20"/>
  <c r="CN78" i="20"/>
  <c r="CO78" i="20"/>
  <c r="CP78" i="20"/>
  <c r="CQ78" i="20"/>
  <c r="CR78" i="20"/>
  <c r="CS78" i="20"/>
  <c r="CT78" i="20"/>
  <c r="CU78" i="20"/>
  <c r="CV78" i="20"/>
  <c r="CW78" i="20"/>
  <c r="CX78" i="20"/>
  <c r="CY78" i="20"/>
  <c r="CZ78" i="20"/>
  <c r="DA78" i="20"/>
  <c r="DB78" i="20"/>
  <c r="DC78" i="20"/>
  <c r="DD78" i="20"/>
  <c r="DE78" i="20"/>
  <c r="DF78" i="20"/>
  <c r="DG78" i="20"/>
  <c r="DH78" i="20"/>
  <c r="DI78" i="20"/>
  <c r="DJ78" i="20"/>
  <c r="DK78" i="20"/>
  <c r="DL78" i="20"/>
  <c r="DM78" i="20"/>
  <c r="DN78" i="20"/>
  <c r="DO78" i="20"/>
  <c r="DP78" i="20"/>
  <c r="DQ78" i="20"/>
  <c r="DR78" i="20"/>
  <c r="DS78" i="20"/>
  <c r="DT78" i="20"/>
  <c r="DU78" i="20"/>
  <c r="DV78" i="20"/>
  <c r="DW78" i="20"/>
  <c r="DX78" i="20"/>
  <c r="DY78" i="20"/>
  <c r="DZ78" i="20"/>
  <c r="EA78" i="20"/>
  <c r="EB78" i="20"/>
  <c r="EC78" i="20"/>
  <c r="ED78" i="20"/>
  <c r="EE78" i="20"/>
  <c r="EF78" i="20"/>
  <c r="EG78" i="20"/>
  <c r="EH78" i="20"/>
  <c r="EI78" i="20"/>
  <c r="EJ78" i="20"/>
  <c r="EK78" i="20"/>
  <c r="EL78" i="20"/>
  <c r="EM78" i="20"/>
  <c r="EN78" i="20"/>
  <c r="EO78" i="20"/>
  <c r="EP78" i="20"/>
  <c r="EQ78" i="20"/>
  <c r="ER78" i="20"/>
  <c r="ES78" i="20"/>
  <c r="ET78" i="20"/>
  <c r="EU78" i="20"/>
  <c r="EV78" i="20"/>
  <c r="EW78" i="20"/>
  <c r="EX78" i="20"/>
  <c r="EY78" i="20"/>
  <c r="EZ78" i="20"/>
  <c r="FA78" i="20"/>
  <c r="FB78" i="20"/>
  <c r="FC78" i="20"/>
  <c r="FD78" i="20"/>
  <c r="FE78" i="20"/>
  <c r="FF78" i="20"/>
  <c r="FG78" i="20"/>
  <c r="FH78" i="20"/>
  <c r="FI78" i="20"/>
  <c r="FJ78" i="20"/>
  <c r="FK78" i="20"/>
  <c r="FL78" i="20"/>
  <c r="FM78" i="20"/>
  <c r="FN78" i="20"/>
  <c r="FO78" i="20"/>
  <c r="FP78" i="20"/>
  <c r="FQ78" i="20"/>
  <c r="FR78" i="20"/>
  <c r="FS78" i="20"/>
  <c r="FT78" i="20"/>
  <c r="FU78" i="20"/>
  <c r="FV78" i="20"/>
  <c r="FW78" i="20"/>
  <c r="FX78" i="20"/>
  <c r="FY78" i="20"/>
  <c r="FZ78" i="20"/>
  <c r="GA78" i="20"/>
  <c r="GB78" i="20"/>
  <c r="GC78" i="20"/>
  <c r="GD78" i="20"/>
  <c r="GE78" i="20"/>
  <c r="GF78" i="20"/>
  <c r="GG78" i="20"/>
  <c r="GH78" i="20"/>
  <c r="GI78" i="20"/>
  <c r="GJ78" i="20"/>
  <c r="GK78" i="20"/>
  <c r="GL78" i="20"/>
  <c r="GM78" i="20"/>
  <c r="GN78" i="20"/>
  <c r="GO78" i="20"/>
  <c r="GP78" i="20"/>
  <c r="GQ78" i="20"/>
  <c r="GR78" i="20"/>
  <c r="GS78" i="20"/>
  <c r="GT78" i="20"/>
  <c r="GU78" i="20"/>
  <c r="GV78" i="20"/>
  <c r="GW78" i="20"/>
  <c r="GX78" i="20"/>
  <c r="GY78" i="20"/>
  <c r="GZ78" i="20"/>
  <c r="HA78" i="20"/>
  <c r="HB78" i="20"/>
  <c r="HC78" i="20"/>
  <c r="HD78" i="20"/>
  <c r="HE78" i="20"/>
  <c r="HF78" i="20"/>
  <c r="HG78" i="20"/>
  <c r="HH78" i="20"/>
  <c r="HI78" i="20"/>
  <c r="HJ78" i="20"/>
  <c r="HK78" i="20"/>
  <c r="HL78" i="20"/>
  <c r="HM78" i="20"/>
  <c r="HN78" i="20"/>
  <c r="HO78" i="20"/>
  <c r="HP78" i="20"/>
  <c r="HQ78" i="20"/>
  <c r="HR78" i="20"/>
  <c r="HS78" i="20"/>
  <c r="HT78" i="20"/>
  <c r="HU78" i="20"/>
  <c r="HV78" i="20"/>
  <c r="HW78" i="20"/>
  <c r="HX78" i="20"/>
  <c r="HY78" i="20"/>
  <c r="HZ78" i="20"/>
  <c r="IA78" i="20"/>
  <c r="IB78" i="20"/>
  <c r="IC78" i="20"/>
  <c r="ID78" i="20"/>
  <c r="IE78" i="20"/>
  <c r="IF78" i="20"/>
  <c r="IG78" i="20"/>
  <c r="IH78" i="20"/>
  <c r="II78" i="20"/>
  <c r="IJ78" i="20"/>
  <c r="IK78" i="20"/>
  <c r="IL78" i="20"/>
  <c r="IM78" i="20"/>
  <c r="IN78" i="20"/>
  <c r="IO78" i="20"/>
  <c r="IP78" i="20"/>
  <c r="IQ78" i="20"/>
  <c r="IR78" i="20"/>
  <c r="IS78" i="20"/>
  <c r="IT78" i="20"/>
  <c r="IU78" i="20"/>
  <c r="IV78" i="20"/>
  <c r="A77" i="20"/>
  <c r="B77" i="20"/>
  <c r="C77" i="20"/>
  <c r="D77" i="20"/>
  <c r="E77" i="20"/>
  <c r="F77" i="20"/>
  <c r="G77" i="20"/>
  <c r="H77" i="20"/>
  <c r="I77" i="20"/>
  <c r="J77" i="20"/>
  <c r="K77" i="20"/>
  <c r="L77" i="20"/>
  <c r="M77" i="20"/>
  <c r="N77" i="20"/>
  <c r="O77" i="20"/>
  <c r="P77" i="20"/>
  <c r="Q77" i="20"/>
  <c r="R77" i="20"/>
  <c r="S77" i="20"/>
  <c r="T77" i="20"/>
  <c r="U77" i="20"/>
  <c r="V77" i="20"/>
  <c r="W77" i="20"/>
  <c r="X77" i="20"/>
  <c r="Y77" i="20"/>
  <c r="Z77" i="20"/>
  <c r="AA77" i="20"/>
  <c r="AB77" i="20"/>
  <c r="AC77" i="20"/>
  <c r="AD77" i="20"/>
  <c r="AE77" i="20"/>
  <c r="AF77" i="20"/>
  <c r="AG77" i="20"/>
  <c r="AH77" i="20"/>
  <c r="AI77" i="20"/>
  <c r="AJ77" i="20"/>
  <c r="AK77" i="20"/>
  <c r="AL77" i="20"/>
  <c r="AM77" i="20"/>
  <c r="AN77" i="20"/>
  <c r="AO77" i="20"/>
  <c r="AP77" i="20"/>
  <c r="AQ77" i="20"/>
  <c r="AR77" i="20"/>
  <c r="AS77" i="20"/>
  <c r="AT77" i="20"/>
  <c r="AU77" i="20"/>
  <c r="AV77" i="20"/>
  <c r="AW77" i="20"/>
  <c r="AX77" i="20"/>
  <c r="AY77" i="20"/>
  <c r="AZ77" i="20"/>
  <c r="BA77" i="20"/>
  <c r="BB77" i="20"/>
  <c r="BC77" i="20"/>
  <c r="BD77" i="20"/>
  <c r="BE77" i="20"/>
  <c r="BF77" i="20"/>
  <c r="BG77" i="20"/>
  <c r="BH77" i="20"/>
  <c r="BI77" i="20"/>
  <c r="BJ77" i="20"/>
  <c r="BK77" i="20"/>
  <c r="BL77" i="20"/>
  <c r="BM77" i="20"/>
  <c r="BN77" i="20"/>
  <c r="BO77" i="20"/>
  <c r="BP77" i="20"/>
  <c r="BQ77" i="20"/>
  <c r="BR77" i="20"/>
  <c r="BS77" i="20"/>
  <c r="BT77" i="20"/>
  <c r="BU77" i="20"/>
  <c r="BV77" i="20"/>
  <c r="BW77" i="20"/>
  <c r="BX77" i="20"/>
  <c r="BY77" i="20"/>
  <c r="BZ77" i="20"/>
  <c r="CA77" i="20"/>
  <c r="CB77" i="20"/>
  <c r="CC77" i="20"/>
  <c r="CD77" i="20"/>
  <c r="CE77" i="20"/>
  <c r="CF77" i="20"/>
  <c r="CG77" i="20"/>
  <c r="CH77" i="20"/>
  <c r="CI77" i="20"/>
  <c r="CJ77" i="20"/>
  <c r="CK77" i="20"/>
  <c r="CL77" i="20"/>
  <c r="CM77" i="20"/>
  <c r="CN77" i="20"/>
  <c r="CO77" i="20"/>
  <c r="CP77" i="20"/>
  <c r="CQ77" i="20"/>
  <c r="CR77" i="20"/>
  <c r="CS77" i="20"/>
  <c r="CT77" i="20"/>
  <c r="CU77" i="20"/>
  <c r="CV77" i="20"/>
  <c r="CW77" i="20"/>
  <c r="CX77" i="20"/>
  <c r="CY77" i="20"/>
  <c r="CZ77" i="20"/>
  <c r="DA77" i="20"/>
  <c r="DB77" i="20"/>
  <c r="DC77" i="20"/>
  <c r="DD77" i="20"/>
  <c r="DE77" i="20"/>
  <c r="DF77" i="20"/>
  <c r="DG77" i="20"/>
  <c r="DH77" i="20"/>
  <c r="DI77" i="20"/>
  <c r="DJ77" i="20"/>
  <c r="DK77" i="20"/>
  <c r="DL77" i="20"/>
  <c r="DM77" i="20"/>
  <c r="DN77" i="20"/>
  <c r="DO77" i="20"/>
  <c r="DP77" i="20"/>
  <c r="DQ77" i="20"/>
  <c r="DR77" i="20"/>
  <c r="DS77" i="20"/>
  <c r="DT77" i="20"/>
  <c r="DU77" i="20"/>
  <c r="DV77" i="20"/>
  <c r="DW77" i="20"/>
  <c r="DX77" i="20"/>
  <c r="DY77" i="20"/>
  <c r="DZ77" i="20"/>
  <c r="EA77" i="20"/>
  <c r="EB77" i="20"/>
  <c r="EC77" i="20"/>
  <c r="ED77" i="20"/>
  <c r="EE77" i="20"/>
  <c r="EF77" i="20"/>
  <c r="EG77" i="20"/>
  <c r="EH77" i="20"/>
  <c r="EI77" i="20"/>
  <c r="EJ77" i="20"/>
  <c r="EK77" i="20"/>
  <c r="EL77" i="20"/>
  <c r="EM77" i="20"/>
  <c r="EN77" i="20"/>
  <c r="EO77" i="20"/>
  <c r="EP77" i="20"/>
  <c r="EQ77" i="20"/>
  <c r="ER77" i="20"/>
  <c r="ES77" i="20"/>
  <c r="ET77" i="20"/>
  <c r="EU77" i="20"/>
  <c r="EV77" i="20"/>
  <c r="EW77" i="20"/>
  <c r="EX77" i="20"/>
  <c r="EY77" i="20"/>
  <c r="EZ77" i="20"/>
  <c r="FA77" i="20"/>
  <c r="FB77" i="20"/>
  <c r="FC77" i="20"/>
  <c r="FD77" i="20"/>
  <c r="FE77" i="20"/>
  <c r="FF77" i="20"/>
  <c r="FG77" i="20"/>
  <c r="FH77" i="20"/>
  <c r="FI77" i="20"/>
  <c r="FJ77" i="20"/>
  <c r="FK77" i="20"/>
  <c r="FL77" i="20"/>
  <c r="FM77" i="20"/>
  <c r="FN77" i="20"/>
  <c r="FO77" i="20"/>
  <c r="FP77" i="20"/>
  <c r="FQ77" i="20"/>
  <c r="FR77" i="20"/>
  <c r="FS77" i="20"/>
  <c r="FT77" i="20"/>
  <c r="FU77" i="20"/>
  <c r="FV77" i="20"/>
  <c r="FW77" i="20"/>
  <c r="FX77" i="20"/>
  <c r="FY77" i="20"/>
  <c r="FZ77" i="20"/>
  <c r="GA77" i="20"/>
  <c r="GB77" i="20"/>
  <c r="GC77" i="20"/>
  <c r="GD77" i="20"/>
  <c r="GE77" i="20"/>
  <c r="GF77" i="20"/>
  <c r="GG77" i="20"/>
  <c r="GH77" i="20"/>
  <c r="GI77" i="20"/>
  <c r="GJ77" i="20"/>
  <c r="GK77" i="20"/>
  <c r="GL77" i="20"/>
  <c r="GM77" i="20"/>
  <c r="GN77" i="20"/>
  <c r="GO77" i="20"/>
  <c r="GP77" i="20"/>
  <c r="GQ77" i="20"/>
  <c r="GR77" i="20"/>
  <c r="GS77" i="20"/>
  <c r="GT77" i="20"/>
  <c r="GU77" i="20"/>
  <c r="GV77" i="20"/>
  <c r="GW77" i="20"/>
  <c r="GX77" i="20"/>
  <c r="GY77" i="20"/>
  <c r="GZ77" i="20"/>
  <c r="HA77" i="20"/>
  <c r="HB77" i="20"/>
  <c r="HC77" i="20"/>
  <c r="HD77" i="20"/>
  <c r="HE77" i="20"/>
  <c r="HF77" i="20"/>
  <c r="HG77" i="20"/>
  <c r="HH77" i="20"/>
  <c r="HI77" i="20"/>
  <c r="HJ77" i="20"/>
  <c r="HK77" i="20"/>
  <c r="HL77" i="20"/>
  <c r="HM77" i="20"/>
  <c r="HN77" i="20"/>
  <c r="HO77" i="20"/>
  <c r="HP77" i="20"/>
  <c r="HQ77" i="20"/>
  <c r="HR77" i="20"/>
  <c r="HS77" i="20"/>
  <c r="HT77" i="20"/>
  <c r="HU77" i="20"/>
  <c r="HV77" i="20"/>
  <c r="HW77" i="20"/>
  <c r="HX77" i="20"/>
  <c r="HY77" i="20"/>
  <c r="HZ77" i="20"/>
  <c r="IA77" i="20"/>
  <c r="IB77" i="20"/>
  <c r="IC77" i="20"/>
  <c r="ID77" i="20"/>
  <c r="IE77" i="20"/>
  <c r="IF77" i="20"/>
  <c r="IG77" i="20"/>
  <c r="IH77" i="20"/>
  <c r="II77" i="20"/>
  <c r="IJ77" i="20"/>
  <c r="IK77" i="20"/>
  <c r="IL77" i="20"/>
  <c r="IM77" i="20"/>
  <c r="IN77" i="20"/>
  <c r="IO77" i="20"/>
  <c r="IP77" i="20"/>
  <c r="IQ77" i="20"/>
  <c r="IR77" i="20"/>
  <c r="IS77" i="20"/>
  <c r="IT77" i="20"/>
  <c r="IU77" i="20"/>
  <c r="IV77" i="20"/>
  <c r="A76" i="20"/>
  <c r="B76" i="20"/>
  <c r="C76" i="20"/>
  <c r="D76" i="20"/>
  <c r="E76" i="20"/>
  <c r="F76" i="20"/>
  <c r="G76" i="20"/>
  <c r="H76" i="20"/>
  <c r="I76" i="20"/>
  <c r="J76" i="20"/>
  <c r="K76" i="20"/>
  <c r="L76" i="20"/>
  <c r="N76" i="20"/>
  <c r="O76" i="20"/>
  <c r="P76" i="20"/>
  <c r="Q76" i="20"/>
  <c r="R76" i="20"/>
  <c r="S76" i="20"/>
  <c r="T76" i="20"/>
  <c r="U76" i="20"/>
  <c r="V76" i="20"/>
  <c r="W76" i="20"/>
  <c r="X76" i="20"/>
  <c r="Y76" i="20"/>
  <c r="Z76" i="20"/>
  <c r="AA76" i="20"/>
  <c r="AB76" i="20"/>
  <c r="AC76" i="20"/>
  <c r="AD76" i="20"/>
  <c r="AE76" i="20"/>
  <c r="AF76" i="20"/>
  <c r="AG76" i="20"/>
  <c r="AH76" i="20"/>
  <c r="AI76" i="20"/>
  <c r="AJ76" i="20"/>
  <c r="AK76" i="20"/>
  <c r="AL76" i="20"/>
  <c r="AM76" i="20"/>
  <c r="AN76" i="20"/>
  <c r="AO76" i="20"/>
  <c r="AP76" i="20"/>
  <c r="AQ76" i="20"/>
  <c r="AR76" i="20"/>
  <c r="AS76" i="20"/>
  <c r="AT76" i="20"/>
  <c r="AU76" i="20"/>
  <c r="AV76" i="20"/>
  <c r="AW76" i="20"/>
  <c r="AX76" i="20"/>
  <c r="AY76" i="20"/>
  <c r="AZ76" i="20"/>
  <c r="BA76" i="20"/>
  <c r="BB76" i="20"/>
  <c r="BC76" i="20"/>
  <c r="BD76" i="20"/>
  <c r="BE76" i="20"/>
  <c r="BF76" i="20"/>
  <c r="BG76" i="20"/>
  <c r="BH76" i="20"/>
  <c r="BI76" i="20"/>
  <c r="BJ76" i="20"/>
  <c r="BK76" i="20"/>
  <c r="BL76" i="20"/>
  <c r="BM76" i="20"/>
  <c r="BN76" i="20"/>
  <c r="BO76" i="20"/>
  <c r="BP76" i="20"/>
  <c r="BQ76" i="20"/>
  <c r="BR76" i="20"/>
  <c r="BS76" i="20"/>
  <c r="BT76" i="20"/>
  <c r="BU76" i="20"/>
  <c r="BV76" i="20"/>
  <c r="BW76" i="20"/>
  <c r="BX76" i="20"/>
  <c r="BY76" i="20"/>
  <c r="BZ76" i="20"/>
  <c r="CA76" i="20"/>
  <c r="CB76" i="20"/>
  <c r="CC76" i="20"/>
  <c r="CD76" i="20"/>
  <c r="CE76" i="20"/>
  <c r="CF76" i="20"/>
  <c r="CG76" i="20"/>
  <c r="CH76" i="20"/>
  <c r="CI76" i="20"/>
  <c r="CJ76" i="20"/>
  <c r="CK76" i="20"/>
  <c r="CL76" i="20"/>
  <c r="CM76" i="20"/>
  <c r="CN76" i="20"/>
  <c r="CO76" i="20"/>
  <c r="CP76" i="20"/>
  <c r="CQ76" i="20"/>
  <c r="CR76" i="20"/>
  <c r="CS76" i="20"/>
  <c r="CT76" i="20"/>
  <c r="CU76" i="20"/>
  <c r="CV76" i="20"/>
  <c r="CW76" i="20"/>
  <c r="CX76" i="20"/>
  <c r="CY76" i="20"/>
  <c r="CZ76" i="20"/>
  <c r="DA76" i="20"/>
  <c r="DB76" i="20"/>
  <c r="DC76" i="20"/>
  <c r="DD76" i="20"/>
  <c r="DE76" i="20"/>
  <c r="DF76" i="20"/>
  <c r="DG76" i="20"/>
  <c r="DH76" i="20"/>
  <c r="DI76" i="20"/>
  <c r="DJ76" i="20"/>
  <c r="DK76" i="20"/>
  <c r="DL76" i="20"/>
  <c r="DM76" i="20"/>
  <c r="DN76" i="20"/>
  <c r="DO76" i="20"/>
  <c r="DP76" i="20"/>
  <c r="DQ76" i="20"/>
  <c r="DR76" i="20"/>
  <c r="DS76" i="20"/>
  <c r="DT76" i="20"/>
  <c r="DU76" i="20"/>
  <c r="DV76" i="20"/>
  <c r="DW76" i="20"/>
  <c r="DX76" i="20"/>
  <c r="DY76" i="20"/>
  <c r="DZ76" i="20"/>
  <c r="EA76" i="20"/>
  <c r="EB76" i="20"/>
  <c r="EC76" i="20"/>
  <c r="ED76" i="20"/>
  <c r="EE76" i="20"/>
  <c r="EF76" i="20"/>
  <c r="EG76" i="20"/>
  <c r="EH76" i="20"/>
  <c r="EI76" i="20"/>
  <c r="EJ76" i="20"/>
  <c r="EK76" i="20"/>
  <c r="EL76" i="20"/>
  <c r="EM76" i="20"/>
  <c r="EN76" i="20"/>
  <c r="EO76" i="20"/>
  <c r="EP76" i="20"/>
  <c r="EQ76" i="20"/>
  <c r="ER76" i="20"/>
  <c r="ES76" i="20"/>
  <c r="ET76" i="20"/>
  <c r="EU76" i="20"/>
  <c r="EV76" i="20"/>
  <c r="EW76" i="20"/>
  <c r="EX76" i="20"/>
  <c r="EY76" i="20"/>
  <c r="EZ76" i="20"/>
  <c r="FA76" i="20"/>
  <c r="FB76" i="20"/>
  <c r="FC76" i="20"/>
  <c r="FD76" i="20"/>
  <c r="FE76" i="20"/>
  <c r="FF76" i="20"/>
  <c r="FG76" i="20"/>
  <c r="FH76" i="20"/>
  <c r="FI76" i="20"/>
  <c r="FJ76" i="20"/>
  <c r="FK76" i="20"/>
  <c r="FL76" i="20"/>
  <c r="FM76" i="20"/>
  <c r="FN76" i="20"/>
  <c r="FO76" i="20"/>
  <c r="FP76" i="20"/>
  <c r="FQ76" i="20"/>
  <c r="FR76" i="20"/>
  <c r="FS76" i="20"/>
  <c r="FT76" i="20"/>
  <c r="FU76" i="20"/>
  <c r="FV76" i="20"/>
  <c r="FW76" i="20"/>
  <c r="FX76" i="20"/>
  <c r="FY76" i="20"/>
  <c r="FZ76" i="20"/>
  <c r="GA76" i="20"/>
  <c r="GB76" i="20"/>
  <c r="GC76" i="20"/>
  <c r="GD76" i="20"/>
  <c r="GE76" i="20"/>
  <c r="GF76" i="20"/>
  <c r="GG76" i="20"/>
  <c r="GH76" i="20"/>
  <c r="GI76" i="20"/>
  <c r="GJ76" i="20"/>
  <c r="GK76" i="20"/>
  <c r="GL76" i="20"/>
  <c r="GM76" i="20"/>
  <c r="GN76" i="20"/>
  <c r="GO76" i="20"/>
  <c r="GP76" i="20"/>
  <c r="GQ76" i="20"/>
  <c r="GR76" i="20"/>
  <c r="GS76" i="20"/>
  <c r="GT76" i="20"/>
  <c r="GU76" i="20"/>
  <c r="GV76" i="20"/>
  <c r="GW76" i="20"/>
  <c r="GX76" i="20"/>
  <c r="GY76" i="20"/>
  <c r="GZ76" i="20"/>
  <c r="HA76" i="20"/>
  <c r="HB76" i="20"/>
  <c r="HC76" i="20"/>
  <c r="HD76" i="20"/>
  <c r="HE76" i="20"/>
  <c r="HF76" i="20"/>
  <c r="HG76" i="20"/>
  <c r="HH76" i="20"/>
  <c r="HI76" i="20"/>
  <c r="HJ76" i="20"/>
  <c r="HK76" i="20"/>
  <c r="HL76" i="20"/>
  <c r="HM76" i="20"/>
  <c r="HN76" i="20"/>
  <c r="HO76" i="20"/>
  <c r="HP76" i="20"/>
  <c r="HQ76" i="20"/>
  <c r="HR76" i="20"/>
  <c r="HS76" i="20"/>
  <c r="HT76" i="20"/>
  <c r="HU76" i="20"/>
  <c r="HV76" i="20"/>
  <c r="HW76" i="20"/>
  <c r="HX76" i="20"/>
  <c r="HY76" i="20"/>
  <c r="HZ76" i="20"/>
  <c r="IA76" i="20"/>
  <c r="IB76" i="20"/>
  <c r="IC76" i="20"/>
  <c r="ID76" i="20"/>
  <c r="IE76" i="20"/>
  <c r="IF76" i="20"/>
  <c r="IG76" i="20"/>
  <c r="IH76" i="20"/>
  <c r="II76" i="20"/>
  <c r="IJ76" i="20"/>
  <c r="IK76" i="20"/>
  <c r="IL76" i="20"/>
  <c r="IM76" i="20"/>
  <c r="IN76" i="20"/>
  <c r="IO76" i="20"/>
  <c r="IP76" i="20"/>
  <c r="IQ76" i="20"/>
  <c r="IR76" i="20"/>
  <c r="IS76" i="20"/>
  <c r="IT76" i="20"/>
  <c r="IU76" i="20"/>
  <c r="IV76" i="20"/>
  <c r="A75" i="20"/>
  <c r="B75" i="20"/>
  <c r="C75" i="20"/>
  <c r="D75" i="20"/>
  <c r="E75" i="20"/>
  <c r="F75" i="20"/>
  <c r="G75" i="20"/>
  <c r="H75" i="20"/>
  <c r="I75" i="20"/>
  <c r="J75" i="20"/>
  <c r="K75" i="20"/>
  <c r="L75" i="20"/>
  <c r="M75" i="20"/>
  <c r="N75" i="20"/>
  <c r="O75" i="20"/>
  <c r="P75" i="20"/>
  <c r="Q75" i="20"/>
  <c r="R75" i="20"/>
  <c r="S75" i="20"/>
  <c r="T75" i="20"/>
  <c r="U75" i="20"/>
  <c r="V75" i="20"/>
  <c r="W75" i="20"/>
  <c r="X75" i="20"/>
  <c r="Y75" i="20"/>
  <c r="Z75" i="20"/>
  <c r="AA75" i="20"/>
  <c r="AB75" i="20"/>
  <c r="AC75" i="20"/>
  <c r="AD75" i="20"/>
  <c r="AE75" i="20"/>
  <c r="AF75" i="20"/>
  <c r="AG75" i="20"/>
  <c r="AH75" i="20"/>
  <c r="AI75" i="20"/>
  <c r="AJ75" i="20"/>
  <c r="AK75" i="20"/>
  <c r="AL75" i="20"/>
  <c r="AM75" i="20"/>
  <c r="AN75" i="20"/>
  <c r="AO75" i="20"/>
  <c r="AP75" i="20"/>
  <c r="AQ75" i="20"/>
  <c r="AR75" i="20"/>
  <c r="AS75" i="20"/>
  <c r="AT75" i="20"/>
  <c r="AU75" i="20"/>
  <c r="AV75" i="20"/>
  <c r="AW75" i="20"/>
  <c r="AX75" i="20"/>
  <c r="AY75" i="20"/>
  <c r="AZ75" i="20"/>
  <c r="BA75" i="20"/>
  <c r="BB75" i="20"/>
  <c r="BC75" i="20"/>
  <c r="BD75" i="20"/>
  <c r="BE75" i="20"/>
  <c r="BF75" i="20"/>
  <c r="BG75" i="20"/>
  <c r="BH75" i="20"/>
  <c r="BI75" i="20"/>
  <c r="BJ75" i="20"/>
  <c r="BK75" i="20"/>
  <c r="BL75" i="20"/>
  <c r="BM75" i="20"/>
  <c r="BN75" i="20"/>
  <c r="BO75" i="20"/>
  <c r="BP75" i="20"/>
  <c r="BQ75" i="20"/>
  <c r="BR75" i="20"/>
  <c r="BS75" i="20"/>
  <c r="BT75" i="20"/>
  <c r="BU75" i="20"/>
  <c r="BV75" i="20"/>
  <c r="BW75" i="20"/>
  <c r="BX75" i="20"/>
  <c r="BY75" i="20"/>
  <c r="BZ75" i="20"/>
  <c r="CA75" i="20"/>
  <c r="CB75" i="20"/>
  <c r="CC75" i="20"/>
  <c r="CD75" i="20"/>
  <c r="CE75" i="20"/>
  <c r="CF75" i="20"/>
  <c r="CG75" i="20"/>
  <c r="CH75" i="20"/>
  <c r="CI75" i="20"/>
  <c r="CJ75" i="20"/>
  <c r="CK75" i="20"/>
  <c r="CL75" i="20"/>
  <c r="CM75" i="20"/>
  <c r="CN75" i="20"/>
  <c r="CO75" i="20"/>
  <c r="CP75" i="20"/>
  <c r="CQ75" i="20"/>
  <c r="CR75" i="20"/>
  <c r="CS75" i="20"/>
  <c r="CT75" i="20"/>
  <c r="CU75" i="20"/>
  <c r="CV75" i="20"/>
  <c r="CW75" i="20"/>
  <c r="CX75" i="20"/>
  <c r="CY75" i="20"/>
  <c r="CZ75" i="20"/>
  <c r="DA75" i="20"/>
  <c r="DB75" i="20"/>
  <c r="DC75" i="20"/>
  <c r="DD75" i="20"/>
  <c r="DE75" i="20"/>
  <c r="DF75" i="20"/>
  <c r="DG75" i="20"/>
  <c r="DH75" i="20"/>
  <c r="DI75" i="20"/>
  <c r="DJ75" i="20"/>
  <c r="DK75" i="20"/>
  <c r="DL75" i="20"/>
  <c r="DM75" i="20"/>
  <c r="DN75" i="20"/>
  <c r="DO75" i="20"/>
  <c r="DP75" i="20"/>
  <c r="DQ75" i="20"/>
  <c r="DR75" i="20"/>
  <c r="DS75" i="20"/>
  <c r="DT75" i="20"/>
  <c r="DU75" i="20"/>
  <c r="DV75" i="20"/>
  <c r="DW75" i="20"/>
  <c r="DX75" i="20"/>
  <c r="DY75" i="20"/>
  <c r="DZ75" i="20"/>
  <c r="EA75" i="20"/>
  <c r="EB75" i="20"/>
  <c r="EC75" i="20"/>
  <c r="ED75" i="20"/>
  <c r="EE75" i="20"/>
  <c r="EF75" i="20"/>
  <c r="EG75" i="20"/>
  <c r="EH75" i="20"/>
  <c r="EI75" i="20"/>
  <c r="EJ75" i="20"/>
  <c r="EK75" i="20"/>
  <c r="EL75" i="20"/>
  <c r="EM75" i="20"/>
  <c r="EN75" i="20"/>
  <c r="EO75" i="20"/>
  <c r="EP75" i="20"/>
  <c r="EQ75" i="20"/>
  <c r="ER75" i="20"/>
  <c r="ES75" i="20"/>
  <c r="ET75" i="20"/>
  <c r="EU75" i="20"/>
  <c r="EV75" i="20"/>
  <c r="EW75" i="20"/>
  <c r="EX75" i="20"/>
  <c r="EY75" i="20"/>
  <c r="EZ75" i="20"/>
  <c r="FA75" i="20"/>
  <c r="FB75" i="20"/>
  <c r="FC75" i="20"/>
  <c r="FD75" i="20"/>
  <c r="FE75" i="20"/>
  <c r="FF75" i="20"/>
  <c r="FG75" i="20"/>
  <c r="FH75" i="20"/>
  <c r="FI75" i="20"/>
  <c r="FJ75" i="20"/>
  <c r="FK75" i="20"/>
  <c r="FL75" i="20"/>
  <c r="FM75" i="20"/>
  <c r="FN75" i="20"/>
  <c r="FO75" i="20"/>
  <c r="FP75" i="20"/>
  <c r="FQ75" i="20"/>
  <c r="FR75" i="20"/>
  <c r="FS75" i="20"/>
  <c r="FT75" i="20"/>
  <c r="FU75" i="20"/>
  <c r="FV75" i="20"/>
  <c r="FW75" i="20"/>
  <c r="FX75" i="20"/>
  <c r="FY75" i="20"/>
  <c r="FZ75" i="20"/>
  <c r="GA75" i="20"/>
  <c r="GB75" i="20"/>
  <c r="GC75" i="20"/>
  <c r="GD75" i="20"/>
  <c r="GE75" i="20"/>
  <c r="GF75" i="20"/>
  <c r="GG75" i="20"/>
  <c r="GH75" i="20"/>
  <c r="GI75" i="20"/>
  <c r="GJ75" i="20"/>
  <c r="GK75" i="20"/>
  <c r="GL75" i="20"/>
  <c r="GM75" i="20"/>
  <c r="GN75" i="20"/>
  <c r="GO75" i="20"/>
  <c r="GP75" i="20"/>
  <c r="GQ75" i="20"/>
  <c r="GR75" i="20"/>
  <c r="GS75" i="20"/>
  <c r="GT75" i="20"/>
  <c r="GU75" i="20"/>
  <c r="GV75" i="20"/>
  <c r="GW75" i="20"/>
  <c r="GX75" i="20"/>
  <c r="GY75" i="20"/>
  <c r="GZ75" i="20"/>
  <c r="HA75" i="20"/>
  <c r="HB75" i="20"/>
  <c r="HC75" i="20"/>
  <c r="HD75" i="20"/>
  <c r="HE75" i="20"/>
  <c r="HF75" i="20"/>
  <c r="HG75" i="20"/>
  <c r="HH75" i="20"/>
  <c r="HI75" i="20"/>
  <c r="HJ75" i="20"/>
  <c r="HK75" i="20"/>
  <c r="HL75" i="20"/>
  <c r="HM75" i="20"/>
  <c r="HN75" i="20"/>
  <c r="HO75" i="20"/>
  <c r="HP75" i="20"/>
  <c r="HQ75" i="20"/>
  <c r="HR75" i="20"/>
  <c r="HS75" i="20"/>
  <c r="HT75" i="20"/>
  <c r="HU75" i="20"/>
  <c r="HV75" i="20"/>
  <c r="HW75" i="20"/>
  <c r="HX75" i="20"/>
  <c r="HY75" i="20"/>
  <c r="HZ75" i="20"/>
  <c r="IA75" i="20"/>
  <c r="IB75" i="20"/>
  <c r="IC75" i="20"/>
  <c r="ID75" i="20"/>
  <c r="IE75" i="20"/>
  <c r="IF75" i="20"/>
  <c r="IG75" i="20"/>
  <c r="IH75" i="20"/>
  <c r="II75" i="20"/>
  <c r="IJ75" i="20"/>
  <c r="IK75" i="20"/>
  <c r="IL75" i="20"/>
  <c r="IM75" i="20"/>
  <c r="IN75" i="20"/>
  <c r="IO75" i="20"/>
  <c r="IP75" i="20"/>
  <c r="IQ75" i="20"/>
  <c r="IR75" i="20"/>
  <c r="IS75" i="20"/>
  <c r="IT75" i="20"/>
  <c r="IU75" i="20"/>
  <c r="IV75" i="20"/>
  <c r="A74" i="20"/>
  <c r="B74" i="20"/>
  <c r="C74" i="20"/>
  <c r="D74" i="20"/>
  <c r="E74" i="20"/>
  <c r="F74" i="20"/>
  <c r="G74" i="20"/>
  <c r="H74" i="20"/>
  <c r="I74" i="20"/>
  <c r="J74" i="20"/>
  <c r="K74" i="20"/>
  <c r="L74" i="20"/>
  <c r="M74" i="20"/>
  <c r="N74" i="20"/>
  <c r="O74" i="20"/>
  <c r="P74" i="20"/>
  <c r="Q74" i="20"/>
  <c r="R74" i="20"/>
  <c r="S74" i="20"/>
  <c r="T74" i="20"/>
  <c r="U74" i="20"/>
  <c r="V74" i="20"/>
  <c r="W74" i="20"/>
  <c r="X74" i="20"/>
  <c r="Y74" i="20"/>
  <c r="Z74" i="20"/>
  <c r="AA74" i="20"/>
  <c r="AB74" i="20"/>
  <c r="AC74" i="20"/>
  <c r="AD74" i="20"/>
  <c r="AE74" i="20"/>
  <c r="AF74" i="20"/>
  <c r="AG74" i="20"/>
  <c r="AH74" i="20"/>
  <c r="AI74" i="20"/>
  <c r="AJ74" i="20"/>
  <c r="AK74" i="20"/>
  <c r="AL74" i="20"/>
  <c r="AM74" i="20"/>
  <c r="AN74" i="20"/>
  <c r="AO74" i="20"/>
  <c r="AP74" i="20"/>
  <c r="AQ74" i="20"/>
  <c r="AR74" i="20"/>
  <c r="AS74" i="20"/>
  <c r="AT74" i="20"/>
  <c r="AU74" i="20"/>
  <c r="AV74" i="20"/>
  <c r="AW74" i="20"/>
  <c r="AX74" i="20"/>
  <c r="AY74" i="20"/>
  <c r="AZ74" i="20"/>
  <c r="BA74" i="20"/>
  <c r="BB74" i="20"/>
  <c r="BC74" i="20"/>
  <c r="BD74" i="20"/>
  <c r="BE74" i="20"/>
  <c r="BF74" i="20"/>
  <c r="BG74" i="20"/>
  <c r="BH74" i="20"/>
  <c r="BI74" i="20"/>
  <c r="BJ74" i="20"/>
  <c r="BK74" i="20"/>
  <c r="BL74" i="20"/>
  <c r="BM74" i="20"/>
  <c r="BN74" i="20"/>
  <c r="BO74" i="20"/>
  <c r="BP74" i="20"/>
  <c r="BQ74" i="20"/>
  <c r="BR74" i="20"/>
  <c r="BS74" i="20"/>
  <c r="BT74" i="20"/>
  <c r="BU74" i="20"/>
  <c r="BV74" i="20"/>
  <c r="BW74" i="20"/>
  <c r="BX74" i="20"/>
  <c r="BY74" i="20"/>
  <c r="BZ74" i="20"/>
  <c r="CA74" i="20"/>
  <c r="CB74" i="20"/>
  <c r="CC74" i="20"/>
  <c r="CD74" i="20"/>
  <c r="CE74" i="20"/>
  <c r="CF74" i="20"/>
  <c r="CG74" i="20"/>
  <c r="CH74" i="20"/>
  <c r="CI74" i="20"/>
  <c r="CJ74" i="20"/>
  <c r="CK74" i="20"/>
  <c r="CL74" i="20"/>
  <c r="CM74" i="20"/>
  <c r="CN74" i="20"/>
  <c r="CO74" i="20"/>
  <c r="CP74" i="20"/>
  <c r="CQ74" i="20"/>
  <c r="CR74" i="20"/>
  <c r="CS74" i="20"/>
  <c r="CT74" i="20"/>
  <c r="CU74" i="20"/>
  <c r="CV74" i="20"/>
  <c r="CW74" i="20"/>
  <c r="CX74" i="20"/>
  <c r="CY74" i="20"/>
  <c r="CZ74" i="20"/>
  <c r="DA74" i="20"/>
  <c r="DB74" i="20"/>
  <c r="DC74" i="20"/>
  <c r="DD74" i="20"/>
  <c r="DE74" i="20"/>
  <c r="DF74" i="20"/>
  <c r="DG74" i="20"/>
  <c r="DH74" i="20"/>
  <c r="DI74" i="20"/>
  <c r="DJ74" i="20"/>
  <c r="DK74" i="20"/>
  <c r="DL74" i="20"/>
  <c r="DM74" i="20"/>
  <c r="DN74" i="20"/>
  <c r="DO74" i="20"/>
  <c r="DP74" i="20"/>
  <c r="DQ74" i="20"/>
  <c r="DR74" i="20"/>
  <c r="DS74" i="20"/>
  <c r="DT74" i="20"/>
  <c r="DU74" i="20"/>
  <c r="DV74" i="20"/>
  <c r="DW74" i="20"/>
  <c r="DX74" i="20"/>
  <c r="DY74" i="20"/>
  <c r="DZ74" i="20"/>
  <c r="EA74" i="20"/>
  <c r="EB74" i="20"/>
  <c r="EC74" i="20"/>
  <c r="ED74" i="20"/>
  <c r="EE74" i="20"/>
  <c r="EF74" i="20"/>
  <c r="EG74" i="20"/>
  <c r="EH74" i="20"/>
  <c r="EI74" i="20"/>
  <c r="EJ74" i="20"/>
  <c r="EK74" i="20"/>
  <c r="EL74" i="20"/>
  <c r="EM74" i="20"/>
  <c r="EN74" i="20"/>
  <c r="EO74" i="20"/>
  <c r="EP74" i="20"/>
  <c r="EQ74" i="20"/>
  <c r="ER74" i="20"/>
  <c r="ES74" i="20"/>
  <c r="ET74" i="20"/>
  <c r="EU74" i="20"/>
  <c r="EV74" i="20"/>
  <c r="EW74" i="20"/>
  <c r="EX74" i="20"/>
  <c r="EY74" i="20"/>
  <c r="EZ74" i="20"/>
  <c r="FA74" i="20"/>
  <c r="FB74" i="20"/>
  <c r="FC74" i="20"/>
  <c r="FD74" i="20"/>
  <c r="FE74" i="20"/>
  <c r="FF74" i="20"/>
  <c r="FG74" i="20"/>
  <c r="FH74" i="20"/>
  <c r="FI74" i="20"/>
  <c r="FJ74" i="20"/>
  <c r="FK74" i="20"/>
  <c r="FL74" i="20"/>
  <c r="FM74" i="20"/>
  <c r="FN74" i="20"/>
  <c r="FO74" i="20"/>
  <c r="FP74" i="20"/>
  <c r="FQ74" i="20"/>
  <c r="FR74" i="20"/>
  <c r="FS74" i="20"/>
  <c r="FT74" i="20"/>
  <c r="FU74" i="20"/>
  <c r="FV74" i="20"/>
  <c r="FW74" i="20"/>
  <c r="FX74" i="20"/>
  <c r="FY74" i="20"/>
  <c r="FZ74" i="20"/>
  <c r="GA74" i="20"/>
  <c r="GB74" i="20"/>
  <c r="GC74" i="20"/>
  <c r="GD74" i="20"/>
  <c r="GE74" i="20"/>
  <c r="GF74" i="20"/>
  <c r="GG74" i="20"/>
  <c r="GH74" i="20"/>
  <c r="GI74" i="20"/>
  <c r="GJ74" i="20"/>
  <c r="GK74" i="20"/>
  <c r="GL74" i="20"/>
  <c r="GM74" i="20"/>
  <c r="GN74" i="20"/>
  <c r="GO74" i="20"/>
  <c r="GP74" i="20"/>
  <c r="GQ74" i="20"/>
  <c r="GR74" i="20"/>
  <c r="GS74" i="20"/>
  <c r="GT74" i="20"/>
  <c r="GU74" i="20"/>
  <c r="GV74" i="20"/>
  <c r="GW74" i="20"/>
  <c r="GX74" i="20"/>
  <c r="GY74" i="20"/>
  <c r="GZ74" i="20"/>
  <c r="HA74" i="20"/>
  <c r="HB74" i="20"/>
  <c r="HC74" i="20"/>
  <c r="HD74" i="20"/>
  <c r="HE74" i="20"/>
  <c r="HF74" i="20"/>
  <c r="HG74" i="20"/>
  <c r="HH74" i="20"/>
  <c r="HI74" i="20"/>
  <c r="HJ74" i="20"/>
  <c r="HK74" i="20"/>
  <c r="HL74" i="20"/>
  <c r="HM74" i="20"/>
  <c r="HN74" i="20"/>
  <c r="HO74" i="20"/>
  <c r="HP74" i="20"/>
  <c r="HQ74" i="20"/>
  <c r="HR74" i="20"/>
  <c r="HS74" i="20"/>
  <c r="HT74" i="20"/>
  <c r="HU74" i="20"/>
  <c r="HV74" i="20"/>
  <c r="HW74" i="20"/>
  <c r="HX74" i="20"/>
  <c r="HY74" i="20"/>
  <c r="HZ74" i="20"/>
  <c r="IA74" i="20"/>
  <c r="IB74" i="20"/>
  <c r="IC74" i="20"/>
  <c r="ID74" i="20"/>
  <c r="IE74" i="20"/>
  <c r="IF74" i="20"/>
  <c r="IG74" i="20"/>
  <c r="IH74" i="20"/>
  <c r="II74" i="20"/>
  <c r="IJ74" i="20"/>
  <c r="IK74" i="20"/>
  <c r="IL74" i="20"/>
  <c r="IM74" i="20"/>
  <c r="IN74" i="20"/>
  <c r="IO74" i="20"/>
  <c r="IP74" i="20"/>
  <c r="IQ74" i="20"/>
  <c r="IR74" i="20"/>
  <c r="IS74" i="20"/>
  <c r="IT74" i="20"/>
  <c r="IU74" i="20"/>
  <c r="IV74" i="20"/>
  <c r="A73" i="20"/>
  <c r="B73" i="20"/>
  <c r="C73" i="20"/>
  <c r="D73" i="20"/>
  <c r="E73" i="20"/>
  <c r="F73" i="20"/>
  <c r="G73" i="20"/>
  <c r="H73" i="20"/>
  <c r="I73" i="20"/>
  <c r="J73" i="20"/>
  <c r="K73" i="20"/>
  <c r="L73" i="20"/>
  <c r="M73" i="20"/>
  <c r="N73" i="20"/>
  <c r="O73" i="20"/>
  <c r="P73" i="20"/>
  <c r="Q73" i="20"/>
  <c r="R73" i="20"/>
  <c r="S73" i="20"/>
  <c r="T73" i="20"/>
  <c r="U73" i="20"/>
  <c r="V73" i="20"/>
  <c r="W73" i="20"/>
  <c r="X73" i="20"/>
  <c r="Y73" i="20"/>
  <c r="Z73" i="20"/>
  <c r="AA73" i="20"/>
  <c r="AB73" i="20"/>
  <c r="AC73" i="20"/>
  <c r="AD73" i="20"/>
  <c r="AE73" i="20"/>
  <c r="AF73" i="20"/>
  <c r="AG73" i="20"/>
  <c r="AH73" i="20"/>
  <c r="AI73" i="20"/>
  <c r="AJ73" i="20"/>
  <c r="AK73" i="20"/>
  <c r="AL73" i="20"/>
  <c r="AM73" i="20"/>
  <c r="AN73" i="20"/>
  <c r="AO73" i="20"/>
  <c r="AP73" i="20"/>
  <c r="AQ73" i="20"/>
  <c r="AR73" i="20"/>
  <c r="AS73" i="20"/>
  <c r="AT73" i="20"/>
  <c r="AU73" i="20"/>
  <c r="AV73" i="20"/>
  <c r="AW73" i="20"/>
  <c r="AX73" i="20"/>
  <c r="AY73" i="20"/>
  <c r="AZ73" i="20"/>
  <c r="BA73" i="20"/>
  <c r="BB73" i="20"/>
  <c r="BC73" i="20"/>
  <c r="BD73" i="20"/>
  <c r="BE73" i="20"/>
  <c r="BF73" i="20"/>
  <c r="BG73" i="20"/>
  <c r="BH73" i="20"/>
  <c r="BI73" i="20"/>
  <c r="BJ73" i="20"/>
  <c r="BK73" i="20"/>
  <c r="BL73" i="20"/>
  <c r="BM73" i="20"/>
  <c r="BN73" i="20"/>
  <c r="BO73" i="20"/>
  <c r="BP73" i="20"/>
  <c r="BQ73" i="20"/>
  <c r="BR73" i="20"/>
  <c r="BS73" i="20"/>
  <c r="BT73" i="20"/>
  <c r="BU73" i="20"/>
  <c r="BV73" i="20"/>
  <c r="BW73" i="20"/>
  <c r="BX73" i="20"/>
  <c r="BY73" i="20"/>
  <c r="BZ73" i="20"/>
  <c r="CA73" i="20"/>
  <c r="CB73" i="20"/>
  <c r="CC73" i="20"/>
  <c r="CD73" i="20"/>
  <c r="CE73" i="20"/>
  <c r="CF73" i="20"/>
  <c r="CG73" i="20"/>
  <c r="CH73" i="20"/>
  <c r="CI73" i="20"/>
  <c r="CJ73" i="20"/>
  <c r="CK73" i="20"/>
  <c r="CL73" i="20"/>
  <c r="CM73" i="20"/>
  <c r="CN73" i="20"/>
  <c r="CO73" i="20"/>
  <c r="CP73" i="20"/>
  <c r="CQ73" i="20"/>
  <c r="CR73" i="20"/>
  <c r="CS73" i="20"/>
  <c r="CT73" i="20"/>
  <c r="CU73" i="20"/>
  <c r="CV73" i="20"/>
  <c r="CW73" i="20"/>
  <c r="CX73" i="20"/>
  <c r="CY73" i="20"/>
  <c r="CZ73" i="20"/>
  <c r="DA73" i="20"/>
  <c r="DB73" i="20"/>
  <c r="DC73" i="20"/>
  <c r="DD73" i="20"/>
  <c r="DE73" i="20"/>
  <c r="DF73" i="20"/>
  <c r="DG73" i="20"/>
  <c r="DH73" i="20"/>
  <c r="DI73" i="20"/>
  <c r="DJ73" i="20"/>
  <c r="DK73" i="20"/>
  <c r="DL73" i="20"/>
  <c r="DM73" i="20"/>
  <c r="DN73" i="20"/>
  <c r="DO73" i="20"/>
  <c r="DP73" i="20"/>
  <c r="DQ73" i="20"/>
  <c r="DR73" i="20"/>
  <c r="DS73" i="20"/>
  <c r="DT73" i="20"/>
  <c r="DU73" i="20"/>
  <c r="DV73" i="20"/>
  <c r="DW73" i="20"/>
  <c r="DX73" i="20"/>
  <c r="DY73" i="20"/>
  <c r="DZ73" i="20"/>
  <c r="EA73" i="20"/>
  <c r="EB73" i="20"/>
  <c r="EC73" i="20"/>
  <c r="ED73" i="20"/>
  <c r="EE73" i="20"/>
  <c r="EF73" i="20"/>
  <c r="EG73" i="20"/>
  <c r="EH73" i="20"/>
  <c r="EI73" i="20"/>
  <c r="EJ73" i="20"/>
  <c r="EK73" i="20"/>
  <c r="EL73" i="20"/>
  <c r="EM73" i="20"/>
  <c r="EN73" i="20"/>
  <c r="EO73" i="20"/>
  <c r="EP73" i="20"/>
  <c r="EQ73" i="20"/>
  <c r="ER73" i="20"/>
  <c r="ES73" i="20"/>
  <c r="ET73" i="20"/>
  <c r="EU73" i="20"/>
  <c r="EV73" i="20"/>
  <c r="EW73" i="20"/>
  <c r="EX73" i="20"/>
  <c r="EY73" i="20"/>
  <c r="EZ73" i="20"/>
  <c r="FA73" i="20"/>
  <c r="FB73" i="20"/>
  <c r="FC73" i="20"/>
  <c r="FD73" i="20"/>
  <c r="FE73" i="20"/>
  <c r="FF73" i="20"/>
  <c r="FG73" i="20"/>
  <c r="FH73" i="20"/>
  <c r="FI73" i="20"/>
  <c r="FJ73" i="20"/>
  <c r="FK73" i="20"/>
  <c r="FL73" i="20"/>
  <c r="FM73" i="20"/>
  <c r="FN73" i="20"/>
  <c r="FO73" i="20"/>
  <c r="FP73" i="20"/>
  <c r="FQ73" i="20"/>
  <c r="FR73" i="20"/>
  <c r="FS73" i="20"/>
  <c r="FT73" i="20"/>
  <c r="FU73" i="20"/>
  <c r="FV73" i="20"/>
  <c r="FW73" i="20"/>
  <c r="FX73" i="20"/>
  <c r="FY73" i="20"/>
  <c r="FZ73" i="20"/>
  <c r="GA73" i="20"/>
  <c r="GB73" i="20"/>
  <c r="GC73" i="20"/>
  <c r="GD73" i="20"/>
  <c r="GE73" i="20"/>
  <c r="GF73" i="20"/>
  <c r="GG73" i="20"/>
  <c r="GH73" i="20"/>
  <c r="GI73" i="20"/>
  <c r="GJ73" i="20"/>
  <c r="GK73" i="20"/>
  <c r="GL73" i="20"/>
  <c r="GM73" i="20"/>
  <c r="GN73" i="20"/>
  <c r="GO73" i="20"/>
  <c r="GP73" i="20"/>
  <c r="GQ73" i="20"/>
  <c r="GR73" i="20"/>
  <c r="GS73" i="20"/>
  <c r="GT73" i="20"/>
  <c r="GU73" i="20"/>
  <c r="GV73" i="20"/>
  <c r="GW73" i="20"/>
  <c r="GX73" i="20"/>
  <c r="GY73" i="20"/>
  <c r="GZ73" i="20"/>
  <c r="HA73" i="20"/>
  <c r="HB73" i="20"/>
  <c r="HC73" i="20"/>
  <c r="HD73" i="20"/>
  <c r="HE73" i="20"/>
  <c r="HF73" i="20"/>
  <c r="HG73" i="20"/>
  <c r="HH73" i="20"/>
  <c r="HI73" i="20"/>
  <c r="HJ73" i="20"/>
  <c r="HK73" i="20"/>
  <c r="HL73" i="20"/>
  <c r="HM73" i="20"/>
  <c r="HN73" i="20"/>
  <c r="HO73" i="20"/>
  <c r="HP73" i="20"/>
  <c r="HQ73" i="20"/>
  <c r="HR73" i="20"/>
  <c r="HS73" i="20"/>
  <c r="HT73" i="20"/>
  <c r="HU73" i="20"/>
  <c r="HV73" i="20"/>
  <c r="HW73" i="20"/>
  <c r="HX73" i="20"/>
  <c r="HY73" i="20"/>
  <c r="HZ73" i="20"/>
  <c r="IA73" i="20"/>
  <c r="IB73" i="20"/>
  <c r="IC73" i="20"/>
  <c r="ID73" i="20"/>
  <c r="IE73" i="20"/>
  <c r="IF73" i="20"/>
  <c r="IG73" i="20"/>
  <c r="IH73" i="20"/>
  <c r="II73" i="20"/>
  <c r="IJ73" i="20"/>
  <c r="IK73" i="20"/>
  <c r="IL73" i="20"/>
  <c r="IM73" i="20"/>
  <c r="IN73" i="20"/>
  <c r="IO73" i="20"/>
  <c r="IP73" i="20"/>
  <c r="IQ73" i="20"/>
  <c r="IR73" i="20"/>
  <c r="IS73" i="20"/>
  <c r="IT73" i="20"/>
  <c r="IU73" i="20"/>
  <c r="IV73" i="20"/>
  <c r="A72" i="20"/>
  <c r="B72" i="20"/>
  <c r="C72" i="20"/>
  <c r="D72" i="20"/>
  <c r="E72" i="20"/>
  <c r="F72" i="20"/>
  <c r="G72" i="20"/>
  <c r="H72" i="20"/>
  <c r="I72" i="20"/>
  <c r="J72" i="20"/>
  <c r="K72" i="20"/>
  <c r="L72" i="20"/>
  <c r="M72" i="20"/>
  <c r="N72" i="20"/>
  <c r="O72" i="20"/>
  <c r="P72" i="20"/>
  <c r="Q72" i="20"/>
  <c r="R72" i="20"/>
  <c r="S72" i="20"/>
  <c r="T72" i="20"/>
  <c r="U72" i="20"/>
  <c r="V72" i="20"/>
  <c r="W72" i="20"/>
  <c r="X72" i="20"/>
  <c r="Y72" i="20"/>
  <c r="Z72" i="20"/>
  <c r="AA72" i="20"/>
  <c r="AB72" i="20"/>
  <c r="AC72" i="20"/>
  <c r="AD72" i="20"/>
  <c r="AE72" i="20"/>
  <c r="AF72" i="20"/>
  <c r="AG72" i="20"/>
  <c r="AH72" i="20"/>
  <c r="AI72" i="20"/>
  <c r="AJ72" i="20"/>
  <c r="AK72" i="20"/>
  <c r="AL72" i="20"/>
  <c r="AM72" i="20"/>
  <c r="AN72" i="20"/>
  <c r="AO72" i="20"/>
  <c r="AP72" i="20"/>
  <c r="AQ72" i="20"/>
  <c r="AR72" i="20"/>
  <c r="AS72" i="20"/>
  <c r="AT72" i="20"/>
  <c r="AU72" i="20"/>
  <c r="AV72" i="20"/>
  <c r="AW72" i="20"/>
  <c r="AX72" i="20"/>
  <c r="AY72" i="20"/>
  <c r="AZ72" i="20"/>
  <c r="BA72" i="20"/>
  <c r="BB72" i="20"/>
  <c r="BC72" i="20"/>
  <c r="BD72" i="20"/>
  <c r="BE72" i="20"/>
  <c r="BF72" i="20"/>
  <c r="BG72" i="20"/>
  <c r="BH72" i="20"/>
  <c r="BI72" i="20"/>
  <c r="BJ72" i="20"/>
  <c r="BK72" i="20"/>
  <c r="BL72" i="20"/>
  <c r="BM72" i="20"/>
  <c r="BN72" i="20"/>
  <c r="BO72" i="20"/>
  <c r="BP72" i="20"/>
  <c r="BQ72" i="20"/>
  <c r="BR72" i="20"/>
  <c r="BS72" i="20"/>
  <c r="BT72" i="20"/>
  <c r="BU72" i="20"/>
  <c r="BV72" i="20"/>
  <c r="BW72" i="20"/>
  <c r="BX72" i="20"/>
  <c r="BY72" i="20"/>
  <c r="BZ72" i="20"/>
  <c r="CA72" i="20"/>
  <c r="CB72" i="20"/>
  <c r="CC72" i="20"/>
  <c r="CD72" i="20"/>
  <c r="CE72" i="20"/>
  <c r="CF72" i="20"/>
  <c r="CG72" i="20"/>
  <c r="CH72" i="20"/>
  <c r="CI72" i="20"/>
  <c r="CJ72" i="20"/>
  <c r="CK72" i="20"/>
  <c r="CL72" i="20"/>
  <c r="CM72" i="20"/>
  <c r="CN72" i="20"/>
  <c r="CO72" i="20"/>
  <c r="CP72" i="20"/>
  <c r="CQ72" i="20"/>
  <c r="CR72" i="20"/>
  <c r="CS72" i="20"/>
  <c r="CT72" i="20"/>
  <c r="CU72" i="20"/>
  <c r="CV72" i="20"/>
  <c r="CW72" i="20"/>
  <c r="CX72" i="20"/>
  <c r="CY72" i="20"/>
  <c r="CZ72" i="20"/>
  <c r="DA72" i="20"/>
  <c r="DB72" i="20"/>
  <c r="DC72" i="20"/>
  <c r="DD72" i="20"/>
  <c r="DE72" i="20"/>
  <c r="DF72" i="20"/>
  <c r="DG72" i="20"/>
  <c r="DH72" i="20"/>
  <c r="DI72" i="20"/>
  <c r="DJ72" i="20"/>
  <c r="DK72" i="20"/>
  <c r="DL72" i="20"/>
  <c r="DM72" i="20"/>
  <c r="DN72" i="20"/>
  <c r="DO72" i="20"/>
  <c r="DP72" i="20"/>
  <c r="DQ72" i="20"/>
  <c r="DR72" i="20"/>
  <c r="DS72" i="20"/>
  <c r="DT72" i="20"/>
  <c r="DU72" i="20"/>
  <c r="DV72" i="20"/>
  <c r="DW72" i="20"/>
  <c r="DX72" i="20"/>
  <c r="DY72" i="20"/>
  <c r="DZ72" i="20"/>
  <c r="EA72" i="20"/>
  <c r="EB72" i="20"/>
  <c r="EC72" i="20"/>
  <c r="ED72" i="20"/>
  <c r="EE72" i="20"/>
  <c r="EF72" i="20"/>
  <c r="EG72" i="20"/>
  <c r="EH72" i="20"/>
  <c r="EI72" i="20"/>
  <c r="EJ72" i="20"/>
  <c r="EK72" i="20"/>
  <c r="EL72" i="20"/>
  <c r="EM72" i="20"/>
  <c r="EN72" i="20"/>
  <c r="EO72" i="20"/>
  <c r="EP72" i="20"/>
  <c r="EQ72" i="20"/>
  <c r="ER72" i="20"/>
  <c r="ES72" i="20"/>
  <c r="ET72" i="20"/>
  <c r="EU72" i="20"/>
  <c r="EV72" i="20"/>
  <c r="EW72" i="20"/>
  <c r="EX72" i="20"/>
  <c r="EY72" i="20"/>
  <c r="EZ72" i="20"/>
  <c r="FA72" i="20"/>
  <c r="FB72" i="20"/>
  <c r="FC72" i="20"/>
  <c r="FD72" i="20"/>
  <c r="FE72" i="20"/>
  <c r="FF72" i="20"/>
  <c r="FG72" i="20"/>
  <c r="FH72" i="20"/>
  <c r="FI72" i="20"/>
  <c r="FJ72" i="20"/>
  <c r="FK72" i="20"/>
  <c r="FL72" i="20"/>
  <c r="FM72" i="20"/>
  <c r="FN72" i="20"/>
  <c r="FO72" i="20"/>
  <c r="FP72" i="20"/>
  <c r="FQ72" i="20"/>
  <c r="FR72" i="20"/>
  <c r="FS72" i="20"/>
  <c r="FT72" i="20"/>
  <c r="FU72" i="20"/>
  <c r="FV72" i="20"/>
  <c r="FW72" i="20"/>
  <c r="FX72" i="20"/>
  <c r="FY72" i="20"/>
  <c r="FZ72" i="20"/>
  <c r="GA72" i="20"/>
  <c r="GB72" i="20"/>
  <c r="GC72" i="20"/>
  <c r="GD72" i="20"/>
  <c r="GE72" i="20"/>
  <c r="GF72" i="20"/>
  <c r="GG72" i="20"/>
  <c r="GH72" i="20"/>
  <c r="GI72" i="20"/>
  <c r="GJ72" i="20"/>
  <c r="GK72" i="20"/>
  <c r="GL72" i="20"/>
  <c r="GM72" i="20"/>
  <c r="GN72" i="20"/>
  <c r="GO72" i="20"/>
  <c r="GP72" i="20"/>
  <c r="GQ72" i="20"/>
  <c r="GR72" i="20"/>
  <c r="GS72" i="20"/>
  <c r="GT72" i="20"/>
  <c r="GU72" i="20"/>
  <c r="GV72" i="20"/>
  <c r="GW72" i="20"/>
  <c r="GX72" i="20"/>
  <c r="GY72" i="20"/>
  <c r="GZ72" i="20"/>
  <c r="HA72" i="20"/>
  <c r="HB72" i="20"/>
  <c r="HC72" i="20"/>
  <c r="HD72" i="20"/>
  <c r="HE72" i="20"/>
  <c r="HF72" i="20"/>
  <c r="HG72" i="20"/>
  <c r="HH72" i="20"/>
  <c r="HI72" i="20"/>
  <c r="HJ72" i="20"/>
  <c r="HK72" i="20"/>
  <c r="HL72" i="20"/>
  <c r="HM72" i="20"/>
  <c r="HN72" i="20"/>
  <c r="HO72" i="20"/>
  <c r="HP72" i="20"/>
  <c r="HQ72" i="20"/>
  <c r="HR72" i="20"/>
  <c r="HS72" i="20"/>
  <c r="HT72" i="20"/>
  <c r="HU72" i="20"/>
  <c r="HV72" i="20"/>
  <c r="HW72" i="20"/>
  <c r="HX72" i="20"/>
  <c r="HY72" i="20"/>
  <c r="HZ72" i="20"/>
  <c r="IA72" i="20"/>
  <c r="IB72" i="20"/>
  <c r="IC72" i="20"/>
  <c r="ID72" i="20"/>
  <c r="IE72" i="20"/>
  <c r="IF72" i="20"/>
  <c r="IG72" i="20"/>
  <c r="IH72" i="20"/>
  <c r="II72" i="20"/>
  <c r="IJ72" i="20"/>
  <c r="IK72" i="20"/>
  <c r="IL72" i="20"/>
  <c r="IM72" i="20"/>
  <c r="IN72" i="20"/>
  <c r="IO72" i="20"/>
  <c r="IP72" i="20"/>
  <c r="IQ72" i="20"/>
  <c r="IR72" i="20"/>
  <c r="IS72" i="20"/>
  <c r="IT72" i="20"/>
  <c r="IU72" i="20"/>
  <c r="IV72" i="20"/>
  <c r="A71" i="20"/>
  <c r="B71" i="20"/>
  <c r="C71" i="20"/>
  <c r="D71" i="20"/>
  <c r="E71" i="20"/>
  <c r="F71" i="20"/>
  <c r="G71" i="20"/>
  <c r="H71" i="20"/>
  <c r="I71" i="20"/>
  <c r="J71" i="20"/>
  <c r="K71" i="20"/>
  <c r="L71" i="20"/>
  <c r="M71" i="20"/>
  <c r="N71" i="20"/>
  <c r="O71" i="20"/>
  <c r="P71" i="20"/>
  <c r="Q71" i="20"/>
  <c r="R71" i="20"/>
  <c r="S71" i="20"/>
  <c r="T71" i="20"/>
  <c r="U71" i="20"/>
  <c r="V71" i="20"/>
  <c r="W71" i="20"/>
  <c r="X71" i="20"/>
  <c r="Y71" i="20"/>
  <c r="Z71" i="20"/>
  <c r="AA71" i="20"/>
  <c r="AB71" i="20"/>
  <c r="AC71" i="20"/>
  <c r="AD71" i="20"/>
  <c r="AE71" i="20"/>
  <c r="AF71" i="20"/>
  <c r="AG71" i="20"/>
  <c r="AH71" i="20"/>
  <c r="AI71" i="20"/>
  <c r="AJ71" i="20"/>
  <c r="AK71" i="20"/>
  <c r="AL71" i="20"/>
  <c r="AM71" i="20"/>
  <c r="AN71" i="20"/>
  <c r="AO71" i="20"/>
  <c r="AP71" i="20"/>
  <c r="AQ71" i="20"/>
  <c r="AR71" i="20"/>
  <c r="AS71" i="20"/>
  <c r="AT71" i="20"/>
  <c r="AU71" i="20"/>
  <c r="AV71" i="20"/>
  <c r="AW71" i="20"/>
  <c r="AX71" i="20"/>
  <c r="AY71" i="20"/>
  <c r="AZ71" i="20"/>
  <c r="BA71" i="20"/>
  <c r="BB71" i="20"/>
  <c r="BC71" i="20"/>
  <c r="BD71" i="20"/>
  <c r="BE71" i="20"/>
  <c r="BF71" i="20"/>
  <c r="BG71" i="20"/>
  <c r="BH71" i="20"/>
  <c r="BI71" i="20"/>
  <c r="BJ71" i="20"/>
  <c r="BK71" i="20"/>
  <c r="BL71" i="20"/>
  <c r="BM71" i="20"/>
  <c r="BN71" i="20"/>
  <c r="BO71" i="20"/>
  <c r="BP71" i="20"/>
  <c r="BQ71" i="20"/>
  <c r="BR71" i="20"/>
  <c r="BS71" i="20"/>
  <c r="BT71" i="20"/>
  <c r="BU71" i="20"/>
  <c r="BV71" i="20"/>
  <c r="BW71" i="20"/>
  <c r="BX71" i="20"/>
  <c r="BY71" i="20"/>
  <c r="BZ71" i="20"/>
  <c r="CA71" i="20"/>
  <c r="CB71" i="20"/>
  <c r="CC71" i="20"/>
  <c r="CD71" i="20"/>
  <c r="CE71" i="20"/>
  <c r="CF71" i="20"/>
  <c r="CG71" i="20"/>
  <c r="CH71" i="20"/>
  <c r="CI71" i="20"/>
  <c r="CJ71" i="20"/>
  <c r="CK71" i="20"/>
  <c r="CL71" i="20"/>
  <c r="CM71" i="20"/>
  <c r="CN71" i="20"/>
  <c r="CO71" i="20"/>
  <c r="CP71" i="20"/>
  <c r="CQ71" i="20"/>
  <c r="CR71" i="20"/>
  <c r="CS71" i="20"/>
  <c r="CT71" i="20"/>
  <c r="CU71" i="20"/>
  <c r="CV71" i="20"/>
  <c r="CW71" i="20"/>
  <c r="CX71" i="20"/>
  <c r="CY71" i="20"/>
  <c r="CZ71" i="20"/>
  <c r="DA71" i="20"/>
  <c r="DB71" i="20"/>
  <c r="DC71" i="20"/>
  <c r="DD71" i="20"/>
  <c r="DE71" i="20"/>
  <c r="DF71" i="20"/>
  <c r="DG71" i="20"/>
  <c r="DH71" i="20"/>
  <c r="DI71" i="20"/>
  <c r="DJ71" i="20"/>
  <c r="DK71" i="20"/>
  <c r="DL71" i="20"/>
  <c r="DM71" i="20"/>
  <c r="DN71" i="20"/>
  <c r="DO71" i="20"/>
  <c r="DP71" i="20"/>
  <c r="DQ71" i="20"/>
  <c r="DR71" i="20"/>
  <c r="DS71" i="20"/>
  <c r="DT71" i="20"/>
  <c r="DU71" i="20"/>
  <c r="DV71" i="20"/>
  <c r="DW71" i="20"/>
  <c r="DX71" i="20"/>
  <c r="DY71" i="20"/>
  <c r="DZ71" i="20"/>
  <c r="EA71" i="20"/>
  <c r="EB71" i="20"/>
  <c r="EC71" i="20"/>
  <c r="ED71" i="20"/>
  <c r="EE71" i="20"/>
  <c r="EF71" i="20"/>
  <c r="EG71" i="20"/>
  <c r="EH71" i="20"/>
  <c r="EI71" i="20"/>
  <c r="EJ71" i="20"/>
  <c r="EK71" i="20"/>
  <c r="EL71" i="20"/>
  <c r="EM71" i="20"/>
  <c r="EN71" i="20"/>
  <c r="EO71" i="20"/>
  <c r="EP71" i="20"/>
  <c r="EQ71" i="20"/>
  <c r="ER71" i="20"/>
  <c r="ES71" i="20"/>
  <c r="ET71" i="20"/>
  <c r="EU71" i="20"/>
  <c r="EV71" i="20"/>
  <c r="EW71" i="20"/>
  <c r="EX71" i="20"/>
  <c r="EY71" i="20"/>
  <c r="EZ71" i="20"/>
  <c r="FA71" i="20"/>
  <c r="FB71" i="20"/>
  <c r="FC71" i="20"/>
  <c r="FD71" i="20"/>
  <c r="FE71" i="20"/>
  <c r="FF71" i="20"/>
  <c r="FG71" i="20"/>
  <c r="FH71" i="20"/>
  <c r="FI71" i="20"/>
  <c r="FJ71" i="20"/>
  <c r="FK71" i="20"/>
  <c r="FL71" i="20"/>
  <c r="FM71" i="20"/>
  <c r="FN71" i="20"/>
  <c r="FO71" i="20"/>
  <c r="FP71" i="20"/>
  <c r="FQ71" i="20"/>
  <c r="FR71" i="20"/>
  <c r="FS71" i="20"/>
  <c r="FT71" i="20"/>
  <c r="FU71" i="20"/>
  <c r="FV71" i="20"/>
  <c r="FW71" i="20"/>
  <c r="FX71" i="20"/>
  <c r="FY71" i="20"/>
  <c r="FZ71" i="20"/>
  <c r="GA71" i="20"/>
  <c r="GB71" i="20"/>
  <c r="GC71" i="20"/>
  <c r="GD71" i="20"/>
  <c r="GE71" i="20"/>
  <c r="GF71" i="20"/>
  <c r="GG71" i="20"/>
  <c r="GH71" i="20"/>
  <c r="GI71" i="20"/>
  <c r="GJ71" i="20"/>
  <c r="GK71" i="20"/>
  <c r="GL71" i="20"/>
  <c r="GM71" i="20"/>
  <c r="GN71" i="20"/>
  <c r="GO71" i="20"/>
  <c r="GP71" i="20"/>
  <c r="GQ71" i="20"/>
  <c r="GR71" i="20"/>
  <c r="GS71" i="20"/>
  <c r="GT71" i="20"/>
  <c r="GU71" i="20"/>
  <c r="GV71" i="20"/>
  <c r="GW71" i="20"/>
  <c r="GX71" i="20"/>
  <c r="GY71" i="20"/>
  <c r="GZ71" i="20"/>
  <c r="HA71" i="20"/>
  <c r="HB71" i="20"/>
  <c r="HC71" i="20"/>
  <c r="HD71" i="20"/>
  <c r="HE71" i="20"/>
  <c r="HF71" i="20"/>
  <c r="HG71" i="20"/>
  <c r="HH71" i="20"/>
  <c r="HI71" i="20"/>
  <c r="HJ71" i="20"/>
  <c r="HK71" i="20"/>
  <c r="HL71" i="20"/>
  <c r="HM71" i="20"/>
  <c r="HN71" i="20"/>
  <c r="HO71" i="20"/>
  <c r="HP71" i="20"/>
  <c r="HQ71" i="20"/>
  <c r="HR71" i="20"/>
  <c r="HS71" i="20"/>
  <c r="HT71" i="20"/>
  <c r="HU71" i="20"/>
  <c r="HV71" i="20"/>
  <c r="HW71" i="20"/>
  <c r="HX71" i="20"/>
  <c r="HY71" i="20"/>
  <c r="HZ71" i="20"/>
  <c r="IA71" i="20"/>
  <c r="IB71" i="20"/>
  <c r="IC71" i="20"/>
  <c r="ID71" i="20"/>
  <c r="IE71" i="20"/>
  <c r="IF71" i="20"/>
  <c r="IG71" i="20"/>
  <c r="IH71" i="20"/>
  <c r="II71" i="20"/>
  <c r="IJ71" i="20"/>
  <c r="IK71" i="20"/>
  <c r="IL71" i="20"/>
  <c r="IM71" i="20"/>
  <c r="IN71" i="20"/>
  <c r="IO71" i="20"/>
  <c r="IP71" i="20"/>
  <c r="IQ71" i="20"/>
  <c r="IR71" i="20"/>
  <c r="IS71" i="20"/>
  <c r="IT71" i="20"/>
  <c r="IU71" i="20"/>
  <c r="IV71" i="20"/>
  <c r="A70" i="20"/>
  <c r="B70" i="20"/>
  <c r="C70" i="20"/>
  <c r="D70" i="20"/>
  <c r="E70" i="20"/>
  <c r="F70" i="20"/>
  <c r="G70" i="20"/>
  <c r="H70" i="20"/>
  <c r="I70" i="20"/>
  <c r="J70" i="20"/>
  <c r="K70" i="20"/>
  <c r="L70" i="20"/>
  <c r="M70" i="20"/>
  <c r="N70" i="20"/>
  <c r="O70" i="20"/>
  <c r="P70" i="20"/>
  <c r="Q70" i="20"/>
  <c r="R70" i="20"/>
  <c r="S70" i="20"/>
  <c r="T70" i="20"/>
  <c r="U70" i="20"/>
  <c r="V70" i="20"/>
  <c r="W70" i="20"/>
  <c r="X70" i="20"/>
  <c r="Y70" i="20"/>
  <c r="Z70" i="20"/>
  <c r="AA70" i="20"/>
  <c r="AB70" i="20"/>
  <c r="AC70" i="20"/>
  <c r="AD70" i="20"/>
  <c r="AE70" i="20"/>
  <c r="AF70" i="20"/>
  <c r="AG70" i="20"/>
  <c r="AH70" i="20"/>
  <c r="AI70" i="20"/>
  <c r="AJ70" i="20"/>
  <c r="AK70" i="20"/>
  <c r="AL70" i="20"/>
  <c r="AM70" i="20"/>
  <c r="AN70" i="20"/>
  <c r="AO70" i="20"/>
  <c r="AP70" i="20"/>
  <c r="AQ70" i="20"/>
  <c r="AR70" i="20"/>
  <c r="AS70" i="20"/>
  <c r="AT70" i="20"/>
  <c r="AU70" i="20"/>
  <c r="AV70" i="20"/>
  <c r="AW70" i="20"/>
  <c r="AX70" i="20"/>
  <c r="AY70" i="20"/>
  <c r="AZ70" i="20"/>
  <c r="BA70" i="20"/>
  <c r="BB70" i="20"/>
  <c r="BC70" i="20"/>
  <c r="BD70" i="20"/>
  <c r="BE70" i="20"/>
  <c r="BF70" i="20"/>
  <c r="BG70" i="20"/>
  <c r="BH70" i="20"/>
  <c r="BI70" i="20"/>
  <c r="BJ70" i="20"/>
  <c r="BK70" i="20"/>
  <c r="BL70" i="20"/>
  <c r="BM70" i="20"/>
  <c r="BN70" i="20"/>
  <c r="BO70" i="20"/>
  <c r="BP70" i="20"/>
  <c r="BQ70" i="20"/>
  <c r="BR70" i="20"/>
  <c r="BS70" i="20"/>
  <c r="BT70" i="20"/>
  <c r="BU70" i="20"/>
  <c r="BV70" i="20"/>
  <c r="BW70" i="20"/>
  <c r="BX70" i="20"/>
  <c r="BY70" i="20"/>
  <c r="BZ70" i="20"/>
  <c r="CA70" i="20"/>
  <c r="CB70" i="20"/>
  <c r="CC70" i="20"/>
  <c r="CD70" i="20"/>
  <c r="CE70" i="20"/>
  <c r="CF70" i="20"/>
  <c r="CG70" i="20"/>
  <c r="CH70" i="20"/>
  <c r="CI70" i="20"/>
  <c r="CJ70" i="20"/>
  <c r="CK70" i="20"/>
  <c r="CL70" i="20"/>
  <c r="CM70" i="20"/>
  <c r="CN70" i="20"/>
  <c r="CO70" i="20"/>
  <c r="CP70" i="20"/>
  <c r="CQ70" i="20"/>
  <c r="CR70" i="20"/>
  <c r="CS70" i="20"/>
  <c r="CT70" i="20"/>
  <c r="CU70" i="20"/>
  <c r="CV70" i="20"/>
  <c r="CW70" i="20"/>
  <c r="CX70" i="20"/>
  <c r="CY70" i="20"/>
  <c r="CZ70" i="20"/>
  <c r="DA70" i="20"/>
  <c r="DB70" i="20"/>
  <c r="DC70" i="20"/>
  <c r="DD70" i="20"/>
  <c r="DE70" i="20"/>
  <c r="DF70" i="20"/>
  <c r="DG70" i="20"/>
  <c r="DH70" i="20"/>
  <c r="DI70" i="20"/>
  <c r="DJ70" i="20"/>
  <c r="DK70" i="20"/>
  <c r="DL70" i="20"/>
  <c r="DM70" i="20"/>
  <c r="DN70" i="20"/>
  <c r="DO70" i="20"/>
  <c r="DP70" i="20"/>
  <c r="DQ70" i="20"/>
  <c r="DR70" i="20"/>
  <c r="DS70" i="20"/>
  <c r="DT70" i="20"/>
  <c r="DU70" i="20"/>
  <c r="DV70" i="20"/>
  <c r="DW70" i="20"/>
  <c r="DX70" i="20"/>
  <c r="DY70" i="20"/>
  <c r="DZ70" i="20"/>
  <c r="EA70" i="20"/>
  <c r="EB70" i="20"/>
  <c r="EC70" i="20"/>
  <c r="ED70" i="20"/>
  <c r="EE70" i="20"/>
  <c r="EF70" i="20"/>
  <c r="EG70" i="20"/>
  <c r="EH70" i="20"/>
  <c r="EI70" i="20"/>
  <c r="EJ70" i="20"/>
  <c r="EK70" i="20"/>
  <c r="EL70" i="20"/>
  <c r="EM70" i="20"/>
  <c r="EN70" i="20"/>
  <c r="EO70" i="20"/>
  <c r="EP70" i="20"/>
  <c r="EQ70" i="20"/>
  <c r="ER70" i="20"/>
  <c r="ES70" i="20"/>
  <c r="ET70" i="20"/>
  <c r="EU70" i="20"/>
  <c r="EV70" i="20"/>
  <c r="EW70" i="20"/>
  <c r="EX70" i="20"/>
  <c r="EY70" i="20"/>
  <c r="EZ70" i="20"/>
  <c r="FA70" i="20"/>
  <c r="FB70" i="20"/>
  <c r="FC70" i="20"/>
  <c r="FD70" i="20"/>
  <c r="FE70" i="20"/>
  <c r="FF70" i="20"/>
  <c r="FG70" i="20"/>
  <c r="FH70" i="20"/>
  <c r="FI70" i="20"/>
  <c r="FJ70" i="20"/>
  <c r="FK70" i="20"/>
  <c r="FL70" i="20"/>
  <c r="FM70" i="20"/>
  <c r="FN70" i="20"/>
  <c r="FO70" i="20"/>
  <c r="FP70" i="20"/>
  <c r="FQ70" i="20"/>
  <c r="FR70" i="20"/>
  <c r="FS70" i="20"/>
  <c r="FT70" i="20"/>
  <c r="FU70" i="20"/>
  <c r="FV70" i="20"/>
  <c r="FW70" i="20"/>
  <c r="FX70" i="20"/>
  <c r="FY70" i="20"/>
  <c r="FZ70" i="20"/>
  <c r="GA70" i="20"/>
  <c r="GB70" i="20"/>
  <c r="GC70" i="20"/>
  <c r="GD70" i="20"/>
  <c r="GE70" i="20"/>
  <c r="GF70" i="20"/>
  <c r="GG70" i="20"/>
  <c r="GH70" i="20"/>
  <c r="GI70" i="20"/>
  <c r="GJ70" i="20"/>
  <c r="GK70" i="20"/>
  <c r="GL70" i="20"/>
  <c r="GM70" i="20"/>
  <c r="GN70" i="20"/>
  <c r="GO70" i="20"/>
  <c r="GP70" i="20"/>
  <c r="GQ70" i="20"/>
  <c r="GR70" i="20"/>
  <c r="GS70" i="20"/>
  <c r="GT70" i="20"/>
  <c r="GU70" i="20"/>
  <c r="GV70" i="20"/>
  <c r="GW70" i="20"/>
  <c r="GX70" i="20"/>
  <c r="GY70" i="20"/>
  <c r="GZ70" i="20"/>
  <c r="HA70" i="20"/>
  <c r="HB70" i="20"/>
  <c r="HC70" i="20"/>
  <c r="HD70" i="20"/>
  <c r="HE70" i="20"/>
  <c r="HF70" i="20"/>
  <c r="HG70" i="20"/>
  <c r="HH70" i="20"/>
  <c r="HI70" i="20"/>
  <c r="HJ70" i="20"/>
  <c r="HK70" i="20"/>
  <c r="HL70" i="20"/>
  <c r="HM70" i="20"/>
  <c r="HN70" i="20"/>
  <c r="HO70" i="20"/>
  <c r="HP70" i="20"/>
  <c r="HQ70" i="20"/>
  <c r="HR70" i="20"/>
  <c r="HS70" i="20"/>
  <c r="HT70" i="20"/>
  <c r="HU70" i="20"/>
  <c r="HV70" i="20"/>
  <c r="HW70" i="20"/>
  <c r="HX70" i="20"/>
  <c r="HY70" i="20"/>
  <c r="HZ70" i="20"/>
  <c r="IA70" i="20"/>
  <c r="IB70" i="20"/>
  <c r="IC70" i="20"/>
  <c r="ID70" i="20"/>
  <c r="IE70" i="20"/>
  <c r="IF70" i="20"/>
  <c r="IG70" i="20"/>
  <c r="IH70" i="20"/>
  <c r="II70" i="20"/>
  <c r="IJ70" i="20"/>
  <c r="IK70" i="20"/>
  <c r="IL70" i="20"/>
  <c r="IM70" i="20"/>
  <c r="IN70" i="20"/>
  <c r="IO70" i="20"/>
  <c r="IP70" i="20"/>
  <c r="IQ70" i="20"/>
  <c r="IR70" i="20"/>
  <c r="IS70" i="20"/>
  <c r="IT70" i="20"/>
  <c r="IU70" i="20"/>
  <c r="IV70" i="20"/>
  <c r="A69" i="20"/>
  <c r="B69" i="20"/>
  <c r="C69" i="20"/>
  <c r="D69" i="20"/>
  <c r="E69" i="20"/>
  <c r="F69" i="20"/>
  <c r="G69" i="20"/>
  <c r="H69" i="20"/>
  <c r="I69" i="20"/>
  <c r="J69" i="20"/>
  <c r="K69" i="20"/>
  <c r="L69" i="20"/>
  <c r="M69" i="20"/>
  <c r="N69" i="20"/>
  <c r="O69" i="20"/>
  <c r="P69" i="20"/>
  <c r="Q69" i="20"/>
  <c r="R69" i="20"/>
  <c r="S69" i="20"/>
  <c r="T69" i="20"/>
  <c r="U69" i="20"/>
  <c r="V69" i="20"/>
  <c r="W69" i="20"/>
  <c r="X69" i="20"/>
  <c r="Y69" i="20"/>
  <c r="Z69" i="20"/>
  <c r="AA69" i="20"/>
  <c r="AB69" i="20"/>
  <c r="AC69" i="20"/>
  <c r="AD69" i="20"/>
  <c r="AE69" i="20"/>
  <c r="AF69" i="20"/>
  <c r="AG69" i="20"/>
  <c r="AH69" i="20"/>
  <c r="AI69" i="20"/>
  <c r="AJ69" i="20"/>
  <c r="AK69" i="20"/>
  <c r="AL69" i="20"/>
  <c r="AM69" i="20"/>
  <c r="AN69" i="20"/>
  <c r="AO69" i="20"/>
  <c r="AP69" i="20"/>
  <c r="AQ69" i="20"/>
  <c r="AR69" i="20"/>
  <c r="AS69" i="20"/>
  <c r="AT69" i="20"/>
  <c r="AU69" i="20"/>
  <c r="AV69" i="20"/>
  <c r="AW69" i="20"/>
  <c r="AX69" i="20"/>
  <c r="AY69" i="20"/>
  <c r="AZ69" i="20"/>
  <c r="BA69" i="20"/>
  <c r="BB69" i="20"/>
  <c r="BC69" i="20"/>
  <c r="BD69" i="20"/>
  <c r="BE69" i="20"/>
  <c r="BF69" i="20"/>
  <c r="BG69" i="20"/>
  <c r="BH69" i="20"/>
  <c r="BI69" i="20"/>
  <c r="BJ69" i="20"/>
  <c r="BK69" i="20"/>
  <c r="BL69" i="20"/>
  <c r="BM69" i="20"/>
  <c r="BN69" i="20"/>
  <c r="BO69" i="20"/>
  <c r="BP69" i="20"/>
  <c r="BQ69" i="20"/>
  <c r="BR69" i="20"/>
  <c r="BS69" i="20"/>
  <c r="BT69" i="20"/>
  <c r="BU69" i="20"/>
  <c r="BV69" i="20"/>
  <c r="BW69" i="20"/>
  <c r="BX69" i="20"/>
  <c r="BY69" i="20"/>
  <c r="BZ69" i="20"/>
  <c r="CA69" i="20"/>
  <c r="CB69" i="20"/>
  <c r="CC69" i="20"/>
  <c r="CD69" i="20"/>
  <c r="CE69" i="20"/>
  <c r="CF69" i="20"/>
  <c r="CG69" i="20"/>
  <c r="CH69" i="20"/>
  <c r="CI69" i="20"/>
  <c r="CJ69" i="20"/>
  <c r="CK69" i="20"/>
  <c r="CL69" i="20"/>
  <c r="CM69" i="20"/>
  <c r="CN69" i="20"/>
  <c r="CO69" i="20"/>
  <c r="CP69" i="20"/>
  <c r="CQ69" i="20"/>
  <c r="CR69" i="20"/>
  <c r="CS69" i="20"/>
  <c r="CT69" i="20"/>
  <c r="CU69" i="20"/>
  <c r="CV69" i="20"/>
  <c r="CW69" i="20"/>
  <c r="CX69" i="20"/>
  <c r="CY69" i="20"/>
  <c r="CZ69" i="20"/>
  <c r="DA69" i="20"/>
  <c r="DB69" i="20"/>
  <c r="DC69" i="20"/>
  <c r="DD69" i="20"/>
  <c r="DE69" i="20"/>
  <c r="DF69" i="20"/>
  <c r="DG69" i="20"/>
  <c r="DH69" i="20"/>
  <c r="DI69" i="20"/>
  <c r="DJ69" i="20"/>
  <c r="DK69" i="20"/>
  <c r="DL69" i="20"/>
  <c r="DM69" i="20"/>
  <c r="DN69" i="20"/>
  <c r="DO69" i="20"/>
  <c r="DP69" i="20"/>
  <c r="DQ69" i="20"/>
  <c r="DR69" i="20"/>
  <c r="DS69" i="20"/>
  <c r="DT69" i="20"/>
  <c r="DU69" i="20"/>
  <c r="DV69" i="20"/>
  <c r="DW69" i="20"/>
  <c r="DX69" i="20"/>
  <c r="DY69" i="20"/>
  <c r="DZ69" i="20"/>
  <c r="EA69" i="20"/>
  <c r="EB69" i="20"/>
  <c r="EC69" i="20"/>
  <c r="ED69" i="20"/>
  <c r="EE69" i="20"/>
  <c r="EF69" i="20"/>
  <c r="EG69" i="20"/>
  <c r="EH69" i="20"/>
  <c r="EI69" i="20"/>
  <c r="EJ69" i="20"/>
  <c r="EK69" i="20"/>
  <c r="EL69" i="20"/>
  <c r="EM69" i="20"/>
  <c r="EN69" i="20"/>
  <c r="EO69" i="20"/>
  <c r="EP69" i="20"/>
  <c r="EQ69" i="20"/>
  <c r="ER69" i="20"/>
  <c r="ES69" i="20"/>
  <c r="ET69" i="20"/>
  <c r="EU69" i="20"/>
  <c r="EV69" i="20"/>
  <c r="EW69" i="20"/>
  <c r="EX69" i="20"/>
  <c r="EY69" i="20"/>
  <c r="EZ69" i="20"/>
  <c r="FA69" i="20"/>
  <c r="FB69" i="20"/>
  <c r="FC69" i="20"/>
  <c r="FD69" i="20"/>
  <c r="FE69" i="20"/>
  <c r="FF69" i="20"/>
  <c r="FG69" i="20"/>
  <c r="FH69" i="20"/>
  <c r="FI69" i="20"/>
  <c r="FJ69" i="20"/>
  <c r="FK69" i="20"/>
  <c r="FL69" i="20"/>
  <c r="FM69" i="20"/>
  <c r="FN69" i="20"/>
  <c r="FO69" i="20"/>
  <c r="FP69" i="20"/>
  <c r="FQ69" i="20"/>
  <c r="FR69" i="20"/>
  <c r="FS69" i="20"/>
  <c r="FT69" i="20"/>
  <c r="FU69" i="20"/>
  <c r="FV69" i="20"/>
  <c r="FW69" i="20"/>
  <c r="FX69" i="20"/>
  <c r="FY69" i="20"/>
  <c r="FZ69" i="20"/>
  <c r="GA69" i="20"/>
  <c r="GB69" i="20"/>
  <c r="GC69" i="20"/>
  <c r="GD69" i="20"/>
  <c r="GE69" i="20"/>
  <c r="GF69" i="20"/>
  <c r="GG69" i="20"/>
  <c r="GH69" i="20"/>
  <c r="GI69" i="20"/>
  <c r="GJ69" i="20"/>
  <c r="GK69" i="20"/>
  <c r="GL69" i="20"/>
  <c r="GM69" i="20"/>
  <c r="GN69" i="20"/>
  <c r="GO69" i="20"/>
  <c r="GP69" i="20"/>
  <c r="GQ69" i="20"/>
  <c r="GR69" i="20"/>
  <c r="GS69" i="20"/>
  <c r="GT69" i="20"/>
  <c r="GU69" i="20"/>
  <c r="GV69" i="20"/>
  <c r="GW69" i="20"/>
  <c r="GX69" i="20"/>
  <c r="GY69" i="20"/>
  <c r="GZ69" i="20"/>
  <c r="HA69" i="20"/>
  <c r="HB69" i="20"/>
  <c r="HC69" i="20"/>
  <c r="HD69" i="20"/>
  <c r="HE69" i="20"/>
  <c r="HF69" i="20"/>
  <c r="HG69" i="20"/>
  <c r="HH69" i="20"/>
  <c r="HI69" i="20"/>
  <c r="HJ69" i="20"/>
  <c r="HK69" i="20"/>
  <c r="HL69" i="20"/>
  <c r="HM69" i="20"/>
  <c r="HN69" i="20"/>
  <c r="HO69" i="20"/>
  <c r="HP69" i="20"/>
  <c r="HQ69" i="20"/>
  <c r="HR69" i="20"/>
  <c r="HS69" i="20"/>
  <c r="HT69" i="20"/>
  <c r="HU69" i="20"/>
  <c r="HV69" i="20"/>
  <c r="HW69" i="20"/>
  <c r="HX69" i="20"/>
  <c r="HY69" i="20"/>
  <c r="HZ69" i="20"/>
  <c r="IA69" i="20"/>
  <c r="IB69" i="20"/>
  <c r="IC69" i="20"/>
  <c r="ID69" i="20"/>
  <c r="IE69" i="20"/>
  <c r="IF69" i="20"/>
  <c r="IG69" i="20"/>
  <c r="IH69" i="20"/>
  <c r="II69" i="20"/>
  <c r="IJ69" i="20"/>
  <c r="IK69" i="20"/>
  <c r="IL69" i="20"/>
  <c r="IM69" i="20"/>
  <c r="IN69" i="20"/>
  <c r="IO69" i="20"/>
  <c r="IP69" i="20"/>
  <c r="IQ69" i="20"/>
  <c r="IR69" i="20"/>
  <c r="IS69" i="20"/>
  <c r="IT69" i="20"/>
  <c r="IU69" i="20"/>
  <c r="IV69" i="20"/>
  <c r="A68" i="20"/>
  <c r="B68" i="20"/>
  <c r="C68" i="20"/>
  <c r="D68" i="20"/>
  <c r="E68" i="20"/>
  <c r="F68" i="20"/>
  <c r="G68" i="20"/>
  <c r="H68" i="20"/>
  <c r="I68" i="20"/>
  <c r="J68" i="20"/>
  <c r="K68" i="20"/>
  <c r="L68" i="20"/>
  <c r="M68" i="20"/>
  <c r="N68" i="20"/>
  <c r="O68" i="20"/>
  <c r="P68" i="20"/>
  <c r="Q68" i="20"/>
  <c r="R68" i="20"/>
  <c r="S68" i="20"/>
  <c r="T68" i="20"/>
  <c r="U68" i="20"/>
  <c r="V68" i="20"/>
  <c r="W68" i="20"/>
  <c r="X68" i="20"/>
  <c r="Y68" i="20"/>
  <c r="Z68" i="20"/>
  <c r="AA68" i="20"/>
  <c r="AB68" i="20"/>
  <c r="AC68" i="20"/>
  <c r="AD68" i="20"/>
  <c r="AE68" i="20"/>
  <c r="AF68" i="20"/>
  <c r="AG68" i="20"/>
  <c r="AH68" i="20"/>
  <c r="AI68" i="20"/>
  <c r="AJ68" i="20"/>
  <c r="AK68" i="20"/>
  <c r="AL68" i="20"/>
  <c r="AM68" i="20"/>
  <c r="AN68" i="20"/>
  <c r="AO68" i="20"/>
  <c r="AP68" i="20"/>
  <c r="AQ68" i="20"/>
  <c r="AR68" i="20"/>
  <c r="AS68" i="20"/>
  <c r="AT68" i="20"/>
  <c r="AU68" i="20"/>
  <c r="AV68" i="20"/>
  <c r="AW68" i="20"/>
  <c r="AX68" i="20"/>
  <c r="AY68" i="20"/>
  <c r="AZ68" i="20"/>
  <c r="BA68" i="20"/>
  <c r="BB68" i="20"/>
  <c r="BC68" i="20"/>
  <c r="BD68" i="20"/>
  <c r="BE68" i="20"/>
  <c r="BF68" i="20"/>
  <c r="BG68" i="20"/>
  <c r="BH68" i="20"/>
  <c r="BI68" i="20"/>
  <c r="BJ68" i="20"/>
  <c r="BK68" i="20"/>
  <c r="BL68" i="20"/>
  <c r="BM68" i="20"/>
  <c r="BN68" i="20"/>
  <c r="BO68" i="20"/>
  <c r="BP68" i="20"/>
  <c r="BQ68" i="20"/>
  <c r="BR68" i="20"/>
  <c r="BS68" i="20"/>
  <c r="BT68" i="20"/>
  <c r="BU68" i="20"/>
  <c r="BV68" i="20"/>
  <c r="BW68" i="20"/>
  <c r="BX68" i="20"/>
  <c r="BY68" i="20"/>
  <c r="BZ68" i="20"/>
  <c r="CA68" i="20"/>
  <c r="CB68" i="20"/>
  <c r="CC68" i="20"/>
  <c r="CD68" i="20"/>
  <c r="CE68" i="20"/>
  <c r="CF68" i="20"/>
  <c r="CG68" i="20"/>
  <c r="CH68" i="20"/>
  <c r="CI68" i="20"/>
  <c r="CJ68" i="20"/>
  <c r="CK68" i="20"/>
  <c r="CL68" i="20"/>
  <c r="CM68" i="20"/>
  <c r="CN68" i="20"/>
  <c r="CO68" i="20"/>
  <c r="CP68" i="20"/>
  <c r="CQ68" i="20"/>
  <c r="CR68" i="20"/>
  <c r="CS68" i="20"/>
  <c r="CT68" i="20"/>
  <c r="CU68" i="20"/>
  <c r="CV68" i="20"/>
  <c r="CW68" i="20"/>
  <c r="CX68" i="20"/>
  <c r="CY68" i="20"/>
  <c r="CZ68" i="20"/>
  <c r="DA68" i="20"/>
  <c r="DB68" i="20"/>
  <c r="DC68" i="20"/>
  <c r="DD68" i="20"/>
  <c r="DE68" i="20"/>
  <c r="DF68" i="20"/>
  <c r="DG68" i="20"/>
  <c r="DH68" i="20"/>
  <c r="DI68" i="20"/>
  <c r="DJ68" i="20"/>
  <c r="DK68" i="20"/>
  <c r="DL68" i="20"/>
  <c r="DM68" i="20"/>
  <c r="DN68" i="20"/>
  <c r="DO68" i="20"/>
  <c r="DP68" i="20"/>
  <c r="DQ68" i="20"/>
  <c r="DR68" i="20"/>
  <c r="DS68" i="20"/>
  <c r="DT68" i="20"/>
  <c r="DU68" i="20"/>
  <c r="DV68" i="20"/>
  <c r="DW68" i="20"/>
  <c r="DX68" i="20"/>
  <c r="DY68" i="20"/>
  <c r="DZ68" i="20"/>
  <c r="EA68" i="20"/>
  <c r="EB68" i="20"/>
  <c r="EC68" i="20"/>
  <c r="ED68" i="20"/>
  <c r="EE68" i="20"/>
  <c r="EF68" i="20"/>
  <c r="EG68" i="20"/>
  <c r="EH68" i="20"/>
  <c r="EI68" i="20"/>
  <c r="EJ68" i="20"/>
  <c r="EK68" i="20"/>
  <c r="EL68" i="20"/>
  <c r="EM68" i="20"/>
  <c r="EN68" i="20"/>
  <c r="EO68" i="20"/>
  <c r="EP68" i="20"/>
  <c r="EQ68" i="20"/>
  <c r="ER68" i="20"/>
  <c r="ES68" i="20"/>
  <c r="ET68" i="20"/>
  <c r="EU68" i="20"/>
  <c r="EV68" i="20"/>
  <c r="EW68" i="20"/>
  <c r="EX68" i="20"/>
  <c r="EY68" i="20"/>
  <c r="EZ68" i="20"/>
  <c r="FA68" i="20"/>
  <c r="FB68" i="20"/>
  <c r="FC68" i="20"/>
  <c r="FD68" i="20"/>
  <c r="FE68" i="20"/>
  <c r="FF68" i="20"/>
  <c r="FG68" i="20"/>
  <c r="FH68" i="20"/>
  <c r="FI68" i="20"/>
  <c r="FJ68" i="20"/>
  <c r="FK68" i="20"/>
  <c r="FL68" i="20"/>
  <c r="FM68" i="20"/>
  <c r="FN68" i="20"/>
  <c r="FO68" i="20"/>
  <c r="FP68" i="20"/>
  <c r="FQ68" i="20"/>
  <c r="FR68" i="20"/>
  <c r="FS68" i="20"/>
  <c r="FT68" i="20"/>
  <c r="FU68" i="20"/>
  <c r="FV68" i="20"/>
  <c r="FW68" i="20"/>
  <c r="FX68" i="20"/>
  <c r="GA68" i="20"/>
  <c r="GF68" i="20"/>
  <c r="GG68" i="20"/>
  <c r="GH68" i="20"/>
  <c r="GK68" i="20"/>
  <c r="GL68" i="20"/>
  <c r="GM68" i="20"/>
  <c r="GN68" i="20"/>
  <c r="GO68" i="20"/>
  <c r="GP68" i="20"/>
  <c r="GQ68" i="20"/>
  <c r="GR68" i="20"/>
  <c r="GS68" i="20"/>
  <c r="GT68" i="20"/>
  <c r="GU68" i="20"/>
  <c r="GV68" i="20"/>
  <c r="GW68" i="20"/>
  <c r="GX68" i="20"/>
  <c r="GY68" i="20"/>
  <c r="GZ68" i="20"/>
  <c r="HA68" i="20"/>
  <c r="HB68" i="20"/>
  <c r="HC68" i="20"/>
  <c r="HD68" i="20"/>
  <c r="HE68" i="20"/>
  <c r="HF68" i="20"/>
  <c r="HG68" i="20"/>
  <c r="HH68" i="20"/>
  <c r="HI68" i="20"/>
  <c r="HJ68" i="20"/>
  <c r="HK68" i="20"/>
  <c r="HL68" i="20"/>
  <c r="HM68" i="20"/>
  <c r="HN68" i="20"/>
  <c r="HO68" i="20"/>
  <c r="HP68" i="20"/>
  <c r="HQ68" i="20"/>
  <c r="HR68" i="20"/>
  <c r="HS68" i="20"/>
  <c r="HT68" i="20"/>
  <c r="HU68" i="20"/>
  <c r="HV68" i="20"/>
  <c r="HW68" i="20"/>
  <c r="HX68" i="20"/>
  <c r="HY68" i="20"/>
  <c r="HZ68" i="20"/>
  <c r="IA68" i="20"/>
  <c r="IB68" i="20"/>
  <c r="IC68" i="20"/>
  <c r="ID68" i="20"/>
  <c r="IE68" i="20"/>
  <c r="IF68" i="20"/>
  <c r="IG68" i="20"/>
  <c r="IH68" i="20"/>
  <c r="II68" i="20"/>
  <c r="IJ68" i="20"/>
  <c r="IK68" i="20"/>
  <c r="IL68" i="20"/>
  <c r="IM68" i="20"/>
  <c r="IN68" i="20"/>
  <c r="IO68" i="20"/>
  <c r="IP68" i="20"/>
  <c r="IQ68" i="20"/>
  <c r="IR68" i="20"/>
  <c r="IS68" i="20"/>
  <c r="IT68" i="20"/>
  <c r="IU68" i="20"/>
  <c r="IV68" i="20"/>
  <c r="A67" i="20"/>
  <c r="B67" i="20"/>
  <c r="C67" i="20"/>
  <c r="D67" i="20"/>
  <c r="E67" i="20"/>
  <c r="F67" i="20"/>
  <c r="G67" i="20"/>
  <c r="H67" i="20"/>
  <c r="I67" i="20"/>
  <c r="J67" i="20"/>
  <c r="K67" i="20"/>
  <c r="L67" i="20"/>
  <c r="M67" i="20"/>
  <c r="N67" i="20"/>
  <c r="O67" i="20"/>
  <c r="P67" i="20"/>
  <c r="Q67" i="20"/>
  <c r="R67" i="20"/>
  <c r="S67" i="20"/>
  <c r="T67" i="20"/>
  <c r="U67" i="20"/>
  <c r="V67" i="20"/>
  <c r="W67" i="20"/>
  <c r="X67" i="20"/>
  <c r="Y67" i="20"/>
  <c r="Z67" i="20"/>
  <c r="AA67" i="20"/>
  <c r="AB67" i="20"/>
  <c r="AC67" i="20"/>
  <c r="AD67" i="20"/>
  <c r="AE67" i="20"/>
  <c r="AF67" i="20"/>
  <c r="AG67" i="20"/>
  <c r="AH67" i="20"/>
  <c r="AI67" i="20"/>
  <c r="AJ67" i="20"/>
  <c r="AK67" i="20"/>
  <c r="AL67" i="20"/>
  <c r="AM67" i="20"/>
  <c r="AN67" i="20"/>
  <c r="AO67" i="20"/>
  <c r="AP67" i="20"/>
  <c r="AQ67" i="20"/>
  <c r="AR67" i="20"/>
  <c r="AS67" i="20"/>
  <c r="AT67" i="20"/>
  <c r="AU67" i="20"/>
  <c r="AV67" i="20"/>
  <c r="AW67" i="20"/>
  <c r="AX67" i="20"/>
  <c r="AY67" i="20"/>
  <c r="AZ67" i="20"/>
  <c r="BA67" i="20"/>
  <c r="BB67" i="20"/>
  <c r="BC67" i="20"/>
  <c r="BD67" i="20"/>
  <c r="BE67" i="20"/>
  <c r="BF67" i="20"/>
  <c r="BG67" i="20"/>
  <c r="BH67" i="20"/>
  <c r="BI67" i="20"/>
  <c r="BJ67" i="20"/>
  <c r="BK67" i="20"/>
  <c r="BL67" i="20"/>
  <c r="BM67" i="20"/>
  <c r="BN67" i="20"/>
  <c r="BO67" i="20"/>
  <c r="BP67" i="20"/>
  <c r="BQ67" i="20"/>
  <c r="BR67" i="20"/>
  <c r="BS67" i="20"/>
  <c r="BT67" i="20"/>
  <c r="BU67" i="20"/>
  <c r="BV67" i="20"/>
  <c r="BW67" i="20"/>
  <c r="BX67" i="20"/>
  <c r="BY67" i="20"/>
  <c r="BZ67" i="20"/>
  <c r="CA67" i="20"/>
  <c r="CB67" i="20"/>
  <c r="CC67" i="20"/>
  <c r="CD67" i="20"/>
  <c r="CE67" i="20"/>
  <c r="CF67" i="20"/>
  <c r="CG67" i="20"/>
  <c r="CH67" i="20"/>
  <c r="CI67" i="20"/>
  <c r="CJ67" i="20"/>
  <c r="CK67" i="20"/>
  <c r="CL67" i="20"/>
  <c r="CM67" i="20"/>
  <c r="CN67" i="20"/>
  <c r="CO67" i="20"/>
  <c r="CP67" i="20"/>
  <c r="CQ67" i="20"/>
  <c r="CR67" i="20"/>
  <c r="CS67" i="20"/>
  <c r="CT67" i="20"/>
  <c r="CU67" i="20"/>
  <c r="CV67" i="20"/>
  <c r="CW67" i="20"/>
  <c r="CX67" i="20"/>
  <c r="CY67" i="20"/>
  <c r="CZ67" i="20"/>
  <c r="DA67" i="20"/>
  <c r="DB67" i="20"/>
  <c r="DC67" i="20"/>
  <c r="DD67" i="20"/>
  <c r="DE67" i="20"/>
  <c r="DF67" i="20"/>
  <c r="DG67" i="20"/>
  <c r="DH67" i="20"/>
  <c r="DI67" i="20"/>
  <c r="DJ67" i="20"/>
  <c r="DK67" i="20"/>
  <c r="DL67" i="20"/>
  <c r="DM67" i="20"/>
  <c r="DN67" i="20"/>
  <c r="DO67" i="20"/>
  <c r="DP67" i="20"/>
  <c r="DQ67" i="20"/>
  <c r="DR67" i="20"/>
  <c r="DS67" i="20"/>
  <c r="DT67" i="20"/>
  <c r="DU67" i="20"/>
  <c r="DV67" i="20"/>
  <c r="DW67" i="20"/>
  <c r="DX67" i="20"/>
  <c r="DY67" i="20"/>
  <c r="DZ67" i="20"/>
  <c r="EA67" i="20"/>
  <c r="EB67" i="20"/>
  <c r="EC67" i="20"/>
  <c r="ED67" i="20"/>
  <c r="EE67" i="20"/>
  <c r="EF67" i="20"/>
  <c r="EG67" i="20"/>
  <c r="EH67" i="20"/>
  <c r="EI67" i="20"/>
  <c r="EJ67" i="20"/>
  <c r="EK67" i="20"/>
  <c r="EL67" i="20"/>
  <c r="EM67" i="20"/>
  <c r="EN67" i="20"/>
  <c r="EO67" i="20"/>
  <c r="EP67" i="20"/>
  <c r="EQ67" i="20"/>
  <c r="ER67" i="20"/>
  <c r="ES67" i="20"/>
  <c r="ET67" i="20"/>
  <c r="EU67" i="20"/>
  <c r="EV67" i="20"/>
  <c r="EW67" i="20"/>
  <c r="EX67" i="20"/>
  <c r="EY67" i="20"/>
  <c r="EZ67" i="20"/>
  <c r="FA67" i="20"/>
  <c r="FB67" i="20"/>
  <c r="FC67" i="20"/>
  <c r="FD67" i="20"/>
  <c r="FE67" i="20"/>
  <c r="FF67" i="20"/>
  <c r="FG67" i="20"/>
  <c r="FH67" i="20"/>
  <c r="FI67" i="20"/>
  <c r="FJ67" i="20"/>
  <c r="FK67" i="20"/>
  <c r="FL67" i="20"/>
  <c r="FM67" i="20"/>
  <c r="FN67" i="20"/>
  <c r="FO67" i="20"/>
  <c r="FP67" i="20"/>
  <c r="FQ67" i="20"/>
  <c r="FR67" i="20"/>
  <c r="FS67" i="20"/>
  <c r="FT67" i="20"/>
  <c r="FU67" i="20"/>
  <c r="FV67" i="20"/>
  <c r="FW67" i="20"/>
  <c r="FX67" i="20"/>
  <c r="FY67" i="20"/>
  <c r="FZ67" i="20"/>
  <c r="GA67" i="20"/>
  <c r="GB67" i="20"/>
  <c r="GC67" i="20"/>
  <c r="GD67" i="20"/>
  <c r="GE67" i="20"/>
  <c r="GF67" i="20"/>
  <c r="GG67" i="20"/>
  <c r="GH67" i="20"/>
  <c r="GI67" i="20"/>
  <c r="GJ67" i="20"/>
  <c r="GK67" i="20"/>
  <c r="GL67" i="20"/>
  <c r="GM67" i="20"/>
  <c r="GN67" i="20"/>
  <c r="GO67" i="20"/>
  <c r="GP67" i="20"/>
  <c r="GQ67" i="20"/>
  <c r="GR67" i="20"/>
  <c r="GS67" i="20"/>
  <c r="GT67" i="20"/>
  <c r="GU67" i="20"/>
  <c r="GV67" i="20"/>
  <c r="GW67" i="20"/>
  <c r="GX67" i="20"/>
  <c r="GY67" i="20"/>
  <c r="GZ67" i="20"/>
  <c r="HA67" i="20"/>
  <c r="HB67" i="20"/>
  <c r="HC67" i="20"/>
  <c r="HD67" i="20"/>
  <c r="HE67" i="20"/>
  <c r="HF67" i="20"/>
  <c r="HG67" i="20"/>
  <c r="HH67" i="20"/>
  <c r="HI67" i="20"/>
  <c r="HJ67" i="20"/>
  <c r="HK67" i="20"/>
  <c r="HL67" i="20"/>
  <c r="HM67" i="20"/>
  <c r="HN67" i="20"/>
  <c r="HO67" i="20"/>
  <c r="HP67" i="20"/>
  <c r="HQ67" i="20"/>
  <c r="HR67" i="20"/>
  <c r="HS67" i="20"/>
  <c r="HT67" i="20"/>
  <c r="HU67" i="20"/>
  <c r="HV67" i="20"/>
  <c r="HW67" i="20"/>
  <c r="HX67" i="20"/>
  <c r="HY67" i="20"/>
  <c r="HZ67" i="20"/>
  <c r="IA67" i="20"/>
  <c r="IB67" i="20"/>
  <c r="IC67" i="20"/>
  <c r="ID67" i="20"/>
  <c r="IE67" i="20"/>
  <c r="IF67" i="20"/>
  <c r="IG67" i="20"/>
  <c r="IH67" i="20"/>
  <c r="II67" i="20"/>
  <c r="IJ67" i="20"/>
  <c r="IK67" i="20"/>
  <c r="IL67" i="20"/>
  <c r="IM67" i="20"/>
  <c r="IN67" i="20"/>
  <c r="IO67" i="20"/>
  <c r="IP67" i="20"/>
  <c r="IQ67" i="20"/>
  <c r="IR67" i="20"/>
  <c r="IS67" i="20"/>
  <c r="IT67" i="20"/>
  <c r="IU67" i="20"/>
  <c r="IV67" i="20"/>
  <c r="A66" i="20"/>
  <c r="B66" i="20"/>
  <c r="C66" i="20"/>
  <c r="D66" i="20"/>
  <c r="E66" i="20"/>
  <c r="F66"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G66" i="20"/>
  <c r="AH66" i="20"/>
  <c r="AI66" i="20"/>
  <c r="AJ66" i="20"/>
  <c r="AK66" i="20"/>
  <c r="AL66" i="20"/>
  <c r="AM66" i="20"/>
  <c r="AN66" i="20"/>
  <c r="AO66" i="20"/>
  <c r="AP66" i="20"/>
  <c r="AQ66" i="20"/>
  <c r="AR66" i="20"/>
  <c r="AS66" i="20"/>
  <c r="AT66" i="20"/>
  <c r="AU66" i="20"/>
  <c r="AV66" i="20"/>
  <c r="AW66" i="20"/>
  <c r="AX66" i="20"/>
  <c r="AY66" i="20"/>
  <c r="AZ66" i="20"/>
  <c r="BA66" i="20"/>
  <c r="BB66" i="20"/>
  <c r="BC66" i="20"/>
  <c r="BD66" i="20"/>
  <c r="BE66" i="20"/>
  <c r="BF66" i="20"/>
  <c r="BG66" i="20"/>
  <c r="BH66" i="20"/>
  <c r="BI66" i="20"/>
  <c r="BJ66" i="20"/>
  <c r="BK66" i="20"/>
  <c r="BL66" i="20"/>
  <c r="BM66" i="20"/>
  <c r="BN66" i="20"/>
  <c r="BO66" i="20"/>
  <c r="BP66" i="20"/>
  <c r="BQ66" i="20"/>
  <c r="BR66" i="20"/>
  <c r="BS66" i="20"/>
  <c r="BT66" i="20"/>
  <c r="BU66" i="20"/>
  <c r="BV66" i="20"/>
  <c r="BW66" i="20"/>
  <c r="BX66" i="20"/>
  <c r="BY66" i="20"/>
  <c r="BZ66" i="20"/>
  <c r="CA66" i="20"/>
  <c r="CB66" i="20"/>
  <c r="CC66" i="20"/>
  <c r="CD66" i="20"/>
  <c r="CE66" i="20"/>
  <c r="CF66" i="20"/>
  <c r="CG66" i="20"/>
  <c r="CH66" i="20"/>
  <c r="CI66" i="20"/>
  <c r="CJ66" i="20"/>
  <c r="CK66" i="20"/>
  <c r="CL66" i="20"/>
  <c r="CM66" i="20"/>
  <c r="CN66" i="20"/>
  <c r="CO66" i="20"/>
  <c r="CP66" i="20"/>
  <c r="CQ66" i="20"/>
  <c r="CR66" i="20"/>
  <c r="CS66" i="20"/>
  <c r="CT66" i="20"/>
  <c r="CU66" i="20"/>
  <c r="CV66" i="20"/>
  <c r="CW66" i="20"/>
  <c r="CX66" i="20"/>
  <c r="CY66" i="20"/>
  <c r="CZ66" i="20"/>
  <c r="DA66" i="20"/>
  <c r="DB66" i="20"/>
  <c r="DC66" i="20"/>
  <c r="DD66" i="20"/>
  <c r="DE66" i="20"/>
  <c r="DF66" i="20"/>
  <c r="DG66" i="20"/>
  <c r="DH66" i="20"/>
  <c r="DI66" i="20"/>
  <c r="DJ66" i="20"/>
  <c r="DK66" i="20"/>
  <c r="DL66" i="20"/>
  <c r="DM66" i="20"/>
  <c r="DN66" i="20"/>
  <c r="DO66" i="20"/>
  <c r="DP66" i="20"/>
  <c r="DQ66" i="20"/>
  <c r="DR66" i="20"/>
  <c r="DS66" i="20"/>
  <c r="DT66" i="20"/>
  <c r="DU66" i="20"/>
  <c r="DV66" i="20"/>
  <c r="DW66" i="20"/>
  <c r="DX66" i="20"/>
  <c r="DY66" i="20"/>
  <c r="DZ66" i="20"/>
  <c r="EA66" i="20"/>
  <c r="EB66" i="20"/>
  <c r="EC66" i="20"/>
  <c r="ED66" i="20"/>
  <c r="EE66" i="20"/>
  <c r="EF66" i="20"/>
  <c r="EG66" i="20"/>
  <c r="EH66" i="20"/>
  <c r="EI66" i="20"/>
  <c r="EJ66" i="20"/>
  <c r="EK66" i="20"/>
  <c r="EL66" i="20"/>
  <c r="EM66" i="20"/>
  <c r="EN66" i="20"/>
  <c r="EO66" i="20"/>
  <c r="EP66" i="20"/>
  <c r="EQ66" i="20"/>
  <c r="ER66" i="20"/>
  <c r="ES66" i="20"/>
  <c r="ET66" i="20"/>
  <c r="EU66" i="20"/>
  <c r="EV66" i="20"/>
  <c r="EW66" i="20"/>
  <c r="EX66" i="20"/>
  <c r="EY66" i="20"/>
  <c r="EZ66" i="20"/>
  <c r="FA66" i="20"/>
  <c r="FB66" i="20"/>
  <c r="FC66" i="20"/>
  <c r="FD66" i="20"/>
  <c r="FE66" i="20"/>
  <c r="FF66" i="20"/>
  <c r="FG66" i="20"/>
  <c r="FH66" i="20"/>
  <c r="FI66" i="20"/>
  <c r="FJ66" i="20"/>
  <c r="FK66" i="20"/>
  <c r="FL66" i="20"/>
  <c r="FM66" i="20"/>
  <c r="FN66" i="20"/>
  <c r="FO66" i="20"/>
  <c r="FP66" i="20"/>
  <c r="FQ66" i="20"/>
  <c r="FR66" i="20"/>
  <c r="FS66" i="20"/>
  <c r="FT66" i="20"/>
  <c r="FU66" i="20"/>
  <c r="FV66" i="20"/>
  <c r="FW66" i="20"/>
  <c r="FX66" i="20"/>
  <c r="FY66" i="20"/>
  <c r="FZ66" i="20"/>
  <c r="GA66" i="20"/>
  <c r="GB66" i="20"/>
  <c r="GC66" i="20"/>
  <c r="GD66" i="20"/>
  <c r="GE66" i="20"/>
  <c r="GF66" i="20"/>
  <c r="GG66" i="20"/>
  <c r="GH66" i="20"/>
  <c r="GI66" i="20"/>
  <c r="GJ66" i="20"/>
  <c r="GK66" i="20"/>
  <c r="GL66" i="20"/>
  <c r="GM66" i="20"/>
  <c r="GN66" i="20"/>
  <c r="GO66" i="20"/>
  <c r="GP66" i="20"/>
  <c r="GQ66" i="20"/>
  <c r="GR66" i="20"/>
  <c r="GS66" i="20"/>
  <c r="GT66" i="20"/>
  <c r="GU66" i="20"/>
  <c r="GV66" i="20"/>
  <c r="GW66" i="20"/>
  <c r="GX66" i="20"/>
  <c r="GY66" i="20"/>
  <c r="GZ66" i="20"/>
  <c r="HA66" i="20"/>
  <c r="HB66" i="20"/>
  <c r="HC66" i="20"/>
  <c r="HD66" i="20"/>
  <c r="HE66" i="20"/>
  <c r="HF66" i="20"/>
  <c r="HG66" i="20"/>
  <c r="HH66" i="20"/>
  <c r="HI66" i="20"/>
  <c r="HJ66" i="20"/>
  <c r="HK66" i="20"/>
  <c r="HL66" i="20"/>
  <c r="HM66" i="20"/>
  <c r="HN66" i="20"/>
  <c r="HO66" i="20"/>
  <c r="HP66" i="20"/>
  <c r="HQ66" i="20"/>
  <c r="HR66" i="20"/>
  <c r="HS66" i="20"/>
  <c r="HT66" i="20"/>
  <c r="HU66" i="20"/>
  <c r="HV66" i="20"/>
  <c r="HW66" i="20"/>
  <c r="HX66" i="20"/>
  <c r="HY66" i="20"/>
  <c r="HZ66" i="20"/>
  <c r="IA66" i="20"/>
  <c r="IB66" i="20"/>
  <c r="IC66" i="20"/>
  <c r="ID66" i="20"/>
  <c r="IE66" i="20"/>
  <c r="IF66" i="20"/>
  <c r="IG66" i="20"/>
  <c r="IH66" i="20"/>
  <c r="II66" i="20"/>
  <c r="IJ66" i="20"/>
  <c r="IK66" i="20"/>
  <c r="IL66" i="20"/>
  <c r="IM66" i="20"/>
  <c r="IN66" i="20"/>
  <c r="IO66" i="20"/>
  <c r="IP66" i="20"/>
  <c r="IQ66" i="20"/>
  <c r="IR66" i="20"/>
  <c r="IS66" i="20"/>
  <c r="IT66" i="20"/>
  <c r="IU66" i="20"/>
  <c r="IV66" i="20"/>
  <c r="A65" i="20"/>
  <c r="B65" i="20"/>
  <c r="C65" i="20"/>
  <c r="D65" i="20"/>
  <c r="E65" i="20"/>
  <c r="F65"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G65" i="20"/>
  <c r="AH65" i="20"/>
  <c r="AI65" i="20"/>
  <c r="AJ65" i="20"/>
  <c r="AK65" i="20"/>
  <c r="AL65" i="20"/>
  <c r="AM65" i="20"/>
  <c r="AN65" i="20"/>
  <c r="AO65" i="20"/>
  <c r="AP65" i="20"/>
  <c r="AQ65" i="20"/>
  <c r="AR65" i="20"/>
  <c r="AS65" i="20"/>
  <c r="AT65" i="20"/>
  <c r="AU65" i="20"/>
  <c r="AV65" i="20"/>
  <c r="AW65" i="20"/>
  <c r="AX65" i="20"/>
  <c r="AY65" i="20"/>
  <c r="AZ65" i="20"/>
  <c r="BA65" i="20"/>
  <c r="BB65" i="20"/>
  <c r="BC65" i="20"/>
  <c r="BD65" i="20"/>
  <c r="BE65" i="20"/>
  <c r="BF65" i="20"/>
  <c r="BG65" i="20"/>
  <c r="BH65" i="20"/>
  <c r="BI65" i="20"/>
  <c r="BJ65" i="20"/>
  <c r="BK65" i="20"/>
  <c r="BL65" i="20"/>
  <c r="BM65" i="20"/>
  <c r="BN65" i="20"/>
  <c r="BO65" i="20"/>
  <c r="BP65" i="20"/>
  <c r="BQ65" i="20"/>
  <c r="BR65" i="20"/>
  <c r="BS65" i="20"/>
  <c r="BT65" i="20"/>
  <c r="BU65" i="20"/>
  <c r="BV65" i="20"/>
  <c r="BW65" i="20"/>
  <c r="BX65" i="20"/>
  <c r="BY65" i="20"/>
  <c r="BZ65" i="20"/>
  <c r="CA65" i="20"/>
  <c r="CB65" i="20"/>
  <c r="CC65" i="20"/>
  <c r="CD65" i="20"/>
  <c r="CE65" i="20"/>
  <c r="CF65" i="20"/>
  <c r="CG65" i="20"/>
  <c r="CH65" i="20"/>
  <c r="CI65" i="20"/>
  <c r="CJ65" i="20"/>
  <c r="CK65" i="20"/>
  <c r="CL65" i="20"/>
  <c r="CM65" i="20"/>
  <c r="CN65" i="20"/>
  <c r="CO65" i="20"/>
  <c r="CP65" i="20"/>
  <c r="CQ65" i="20"/>
  <c r="CR65" i="20"/>
  <c r="CS65" i="20"/>
  <c r="CT65" i="20"/>
  <c r="CU65" i="20"/>
  <c r="CV65" i="20"/>
  <c r="CW65" i="20"/>
  <c r="CX65" i="20"/>
  <c r="CY65" i="20"/>
  <c r="CZ65" i="20"/>
  <c r="DA65" i="20"/>
  <c r="DB65" i="20"/>
  <c r="DC65" i="20"/>
  <c r="DD65" i="20"/>
  <c r="DE65" i="20"/>
  <c r="DF65" i="20"/>
  <c r="DG65" i="20"/>
  <c r="DH65" i="20"/>
  <c r="DI65" i="20"/>
  <c r="DJ65" i="20"/>
  <c r="DK65" i="20"/>
  <c r="DL65" i="20"/>
  <c r="DM65" i="20"/>
  <c r="DN65" i="20"/>
  <c r="DO65" i="20"/>
  <c r="DP65" i="20"/>
  <c r="DQ65" i="20"/>
  <c r="DR65" i="20"/>
  <c r="DS65" i="20"/>
  <c r="DT65" i="20"/>
  <c r="DU65" i="20"/>
  <c r="DV65" i="20"/>
  <c r="DW65" i="20"/>
  <c r="DX65" i="20"/>
  <c r="DY65" i="20"/>
  <c r="DZ65" i="20"/>
  <c r="EA65" i="20"/>
  <c r="EB65" i="20"/>
  <c r="EC65" i="20"/>
  <c r="ED65" i="20"/>
  <c r="EE65" i="20"/>
  <c r="EF65" i="20"/>
  <c r="EG65" i="20"/>
  <c r="EH65" i="20"/>
  <c r="EI65" i="20"/>
  <c r="EJ65" i="20"/>
  <c r="EK65" i="20"/>
  <c r="EL65" i="20"/>
  <c r="EM65" i="20"/>
  <c r="EN65" i="20"/>
  <c r="EO65" i="20"/>
  <c r="EP65" i="20"/>
  <c r="EQ65" i="20"/>
  <c r="ER65" i="20"/>
  <c r="ES65" i="20"/>
  <c r="ET65" i="20"/>
  <c r="EU65" i="20"/>
  <c r="EV65" i="20"/>
  <c r="EW65" i="20"/>
  <c r="EX65" i="20"/>
  <c r="EY65" i="20"/>
  <c r="EZ65" i="20"/>
  <c r="FA65" i="20"/>
  <c r="FB65" i="20"/>
  <c r="FC65" i="20"/>
  <c r="FD65" i="20"/>
  <c r="FE65" i="20"/>
  <c r="FF65" i="20"/>
  <c r="FG65" i="20"/>
  <c r="FH65" i="20"/>
  <c r="FI65" i="20"/>
  <c r="FJ65" i="20"/>
  <c r="FK65" i="20"/>
  <c r="FL65" i="20"/>
  <c r="FM65" i="20"/>
  <c r="FN65" i="20"/>
  <c r="FO65" i="20"/>
  <c r="FP65" i="20"/>
  <c r="FQ65" i="20"/>
  <c r="FR65" i="20"/>
  <c r="FS65" i="20"/>
  <c r="FT65" i="20"/>
  <c r="FU65" i="20"/>
  <c r="FV65" i="20"/>
  <c r="FW65" i="20"/>
  <c r="FX65" i="20"/>
  <c r="FY65" i="20"/>
  <c r="FZ65" i="20"/>
  <c r="GA65" i="20"/>
  <c r="GB65" i="20"/>
  <c r="GC65" i="20"/>
  <c r="GD65" i="20"/>
  <c r="GE65" i="20"/>
  <c r="GF65" i="20"/>
  <c r="GG65" i="20"/>
  <c r="GH65" i="20"/>
  <c r="GI65" i="20"/>
  <c r="GJ65" i="20"/>
  <c r="GK65" i="20"/>
  <c r="GL65" i="20"/>
  <c r="GM65" i="20"/>
  <c r="GN65" i="20"/>
  <c r="GO65" i="20"/>
  <c r="GP65" i="20"/>
  <c r="GQ65" i="20"/>
  <c r="GR65" i="20"/>
  <c r="GS65" i="20"/>
  <c r="GT65" i="20"/>
  <c r="GU65" i="20"/>
  <c r="GV65" i="20"/>
  <c r="GW65" i="20"/>
  <c r="GX65" i="20"/>
  <c r="GY65" i="20"/>
  <c r="GZ65" i="20"/>
  <c r="HA65" i="20"/>
  <c r="HB65" i="20"/>
  <c r="HC65" i="20"/>
  <c r="HD65" i="20"/>
  <c r="HE65" i="20"/>
  <c r="HF65" i="20"/>
  <c r="HG65" i="20"/>
  <c r="HH65" i="20"/>
  <c r="HI65" i="20"/>
  <c r="HJ65" i="20"/>
  <c r="HK65" i="20"/>
  <c r="HL65" i="20"/>
  <c r="HM65" i="20"/>
  <c r="HN65" i="20"/>
  <c r="HO65" i="20"/>
  <c r="HP65" i="20"/>
  <c r="HQ65" i="20"/>
  <c r="HR65" i="20"/>
  <c r="HS65" i="20"/>
  <c r="HT65" i="20"/>
  <c r="HU65" i="20"/>
  <c r="HV65" i="20"/>
  <c r="HW65" i="20"/>
  <c r="HX65" i="20"/>
  <c r="HY65" i="20"/>
  <c r="HZ65" i="20"/>
  <c r="IA65" i="20"/>
  <c r="IB65" i="20"/>
  <c r="IC65" i="20"/>
  <c r="ID65" i="20"/>
  <c r="IE65" i="20"/>
  <c r="IF65" i="20"/>
  <c r="IG65" i="20"/>
  <c r="IH65" i="20"/>
  <c r="II65" i="20"/>
  <c r="IJ65" i="20"/>
  <c r="IK65" i="20"/>
  <c r="IL65" i="20"/>
  <c r="IM65" i="20"/>
  <c r="IN65" i="20"/>
  <c r="IO65" i="20"/>
  <c r="IP65" i="20"/>
  <c r="IQ65" i="20"/>
  <c r="IR65" i="20"/>
  <c r="IS65" i="20"/>
  <c r="IT65" i="20"/>
  <c r="IU65" i="20"/>
  <c r="IV65" i="20"/>
  <c r="A64" i="20"/>
  <c r="B64" i="20"/>
  <c r="C64" i="20"/>
  <c r="D64" i="20"/>
  <c r="E64"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G64" i="20"/>
  <c r="AH64" i="20"/>
  <c r="AI64" i="20"/>
  <c r="AJ64" i="20"/>
  <c r="AK64" i="20"/>
  <c r="AL64" i="20"/>
  <c r="AM64" i="20"/>
  <c r="AN64" i="20"/>
  <c r="AO64" i="20"/>
  <c r="AP64" i="20"/>
  <c r="AQ64" i="20"/>
  <c r="AR64" i="20"/>
  <c r="AS64" i="20"/>
  <c r="AT64" i="20"/>
  <c r="AU64" i="20"/>
  <c r="AV64" i="20"/>
  <c r="AW64" i="20"/>
  <c r="AX64" i="20"/>
  <c r="AY64" i="20"/>
  <c r="AZ64" i="20"/>
  <c r="BA64" i="20"/>
  <c r="BB64" i="20"/>
  <c r="BC64" i="20"/>
  <c r="BD64" i="20"/>
  <c r="BE64" i="20"/>
  <c r="BF64" i="20"/>
  <c r="BG64" i="20"/>
  <c r="BH64" i="20"/>
  <c r="BI64" i="20"/>
  <c r="BJ64" i="20"/>
  <c r="BK64" i="20"/>
  <c r="BL64" i="20"/>
  <c r="BM64" i="20"/>
  <c r="BN64" i="20"/>
  <c r="BO64" i="20"/>
  <c r="BP64" i="20"/>
  <c r="BQ64" i="20"/>
  <c r="BR64" i="20"/>
  <c r="BS64" i="20"/>
  <c r="BT64" i="20"/>
  <c r="BU64" i="20"/>
  <c r="BV64" i="20"/>
  <c r="BW64" i="20"/>
  <c r="BX64" i="20"/>
  <c r="BY64" i="20"/>
  <c r="BZ64" i="20"/>
  <c r="CA64" i="20"/>
  <c r="CB64" i="20"/>
  <c r="CC64" i="20"/>
  <c r="CD64" i="20"/>
  <c r="CE64" i="20"/>
  <c r="CF64" i="20"/>
  <c r="CG64" i="20"/>
  <c r="CH64" i="20"/>
  <c r="CI64" i="20"/>
  <c r="CJ64" i="20"/>
  <c r="CK64" i="20"/>
  <c r="CL64" i="20"/>
  <c r="CM64" i="20"/>
  <c r="CN64" i="20"/>
  <c r="CO64" i="20"/>
  <c r="CP64" i="20"/>
  <c r="CQ64" i="20"/>
  <c r="CR64" i="20"/>
  <c r="CS64" i="20"/>
  <c r="CT64" i="20"/>
  <c r="CU64" i="20"/>
  <c r="CV64" i="20"/>
  <c r="CW64" i="20"/>
  <c r="CX64" i="20"/>
  <c r="CY64" i="20"/>
  <c r="CZ64" i="20"/>
  <c r="DA64" i="20"/>
  <c r="DB64" i="20"/>
  <c r="DC64" i="20"/>
  <c r="DD64" i="20"/>
  <c r="DE64" i="20"/>
  <c r="DF64" i="20"/>
  <c r="DG64" i="20"/>
  <c r="DH64" i="20"/>
  <c r="DI64" i="20"/>
  <c r="DJ64" i="20"/>
  <c r="DK64" i="20"/>
  <c r="DL64" i="20"/>
  <c r="DM64" i="20"/>
  <c r="DN64" i="20"/>
  <c r="DO64" i="20"/>
  <c r="DP64" i="20"/>
  <c r="DQ64" i="20"/>
  <c r="DR64" i="20"/>
  <c r="DS64" i="20"/>
  <c r="DT64" i="20"/>
  <c r="DU64" i="20"/>
  <c r="DV64" i="20"/>
  <c r="DW64" i="20"/>
  <c r="DX64" i="20"/>
  <c r="DY64" i="20"/>
  <c r="DZ64" i="20"/>
  <c r="EA64" i="20"/>
  <c r="EB64" i="20"/>
  <c r="EC64" i="20"/>
  <c r="ED64" i="20"/>
  <c r="EE64" i="20"/>
  <c r="EF64" i="20"/>
  <c r="EG64" i="20"/>
  <c r="EH64" i="20"/>
  <c r="EI64" i="20"/>
  <c r="EJ64" i="20"/>
  <c r="EK64" i="20"/>
  <c r="EL64" i="20"/>
  <c r="EM64" i="20"/>
  <c r="EN64" i="20"/>
  <c r="EO64" i="20"/>
  <c r="EP64" i="20"/>
  <c r="EQ64" i="20"/>
  <c r="ER64" i="20"/>
  <c r="ES64" i="20"/>
  <c r="ET64" i="20"/>
  <c r="EU64" i="20"/>
  <c r="EV64" i="20"/>
  <c r="EW64" i="20"/>
  <c r="EX64" i="20"/>
  <c r="EY64" i="20"/>
  <c r="EZ64" i="20"/>
  <c r="FA64" i="20"/>
  <c r="FB64" i="20"/>
  <c r="FC64" i="20"/>
  <c r="FD64" i="20"/>
  <c r="FE64" i="20"/>
  <c r="FF64" i="20"/>
  <c r="FG64" i="20"/>
  <c r="FH64" i="20"/>
  <c r="FI64" i="20"/>
  <c r="FJ64" i="20"/>
  <c r="FK64" i="20"/>
  <c r="FL64" i="20"/>
  <c r="FM64" i="20"/>
  <c r="FN64" i="20"/>
  <c r="FO64" i="20"/>
  <c r="FP64" i="20"/>
  <c r="FQ64" i="20"/>
  <c r="FR64" i="20"/>
  <c r="FS64" i="20"/>
  <c r="FT64" i="20"/>
  <c r="FU64" i="20"/>
  <c r="FV64" i="20"/>
  <c r="FW64" i="20"/>
  <c r="FX64" i="20"/>
  <c r="FY64" i="20"/>
  <c r="FZ64" i="20"/>
  <c r="GA64" i="20"/>
  <c r="GB64" i="20"/>
  <c r="GC64" i="20"/>
  <c r="GD64" i="20"/>
  <c r="GE64" i="20"/>
  <c r="GF64" i="20"/>
  <c r="GG64" i="20"/>
  <c r="GH64" i="20"/>
  <c r="GI64" i="20"/>
  <c r="GJ64" i="20"/>
  <c r="GK64" i="20"/>
  <c r="GL64" i="20"/>
  <c r="GM64" i="20"/>
  <c r="GN64" i="20"/>
  <c r="GO64" i="20"/>
  <c r="GP64" i="20"/>
  <c r="GQ64" i="20"/>
  <c r="GR64" i="20"/>
  <c r="GS64" i="20"/>
  <c r="GT64" i="20"/>
  <c r="GU64" i="20"/>
  <c r="GV64" i="20"/>
  <c r="GW64" i="20"/>
  <c r="GX64" i="20"/>
  <c r="GY64" i="20"/>
  <c r="GZ64" i="20"/>
  <c r="HA64" i="20"/>
  <c r="HB64" i="20"/>
  <c r="HC64" i="20"/>
  <c r="HD64" i="20"/>
  <c r="HE64" i="20"/>
  <c r="HF64" i="20"/>
  <c r="HG64" i="20"/>
  <c r="HH64" i="20"/>
  <c r="HI64" i="20"/>
  <c r="HJ64" i="20"/>
  <c r="HK64" i="20"/>
  <c r="HL64" i="20"/>
  <c r="HM64" i="20"/>
  <c r="HN64" i="20"/>
  <c r="HO64" i="20"/>
  <c r="HP64" i="20"/>
  <c r="HQ64" i="20"/>
  <c r="HR64" i="20"/>
  <c r="HS64" i="20"/>
  <c r="HT64" i="20"/>
  <c r="HU64" i="20"/>
  <c r="HV64" i="20"/>
  <c r="HW64" i="20"/>
  <c r="HX64" i="20"/>
  <c r="HY64" i="20"/>
  <c r="HZ64" i="20"/>
  <c r="IA64" i="20"/>
  <c r="IB64" i="20"/>
  <c r="IC64" i="20"/>
  <c r="ID64" i="20"/>
  <c r="IE64" i="20"/>
  <c r="IF64" i="20"/>
  <c r="IG64" i="20"/>
  <c r="IH64" i="20"/>
  <c r="II64" i="20"/>
  <c r="IJ64" i="20"/>
  <c r="IK64" i="20"/>
  <c r="IL64" i="20"/>
  <c r="IM64" i="20"/>
  <c r="IN64" i="20"/>
  <c r="IO64" i="20"/>
  <c r="IP64" i="20"/>
  <c r="IQ64" i="20"/>
  <c r="IR64" i="20"/>
  <c r="IS64" i="20"/>
  <c r="IT64" i="20"/>
  <c r="IU64" i="20"/>
  <c r="IV64" i="20"/>
  <c r="A63" i="20"/>
  <c r="B63" i="20"/>
  <c r="C63" i="20"/>
  <c r="D63" i="20"/>
  <c r="E63"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G63" i="20"/>
  <c r="AH63" i="20"/>
  <c r="AI63" i="20"/>
  <c r="AJ63" i="20"/>
  <c r="AK63" i="20"/>
  <c r="AL63" i="20"/>
  <c r="AM63" i="20"/>
  <c r="AN63" i="20"/>
  <c r="AO63" i="20"/>
  <c r="AP63" i="20"/>
  <c r="AQ63" i="20"/>
  <c r="AR63" i="20"/>
  <c r="AS63" i="20"/>
  <c r="AT63" i="20"/>
  <c r="AU63" i="20"/>
  <c r="AV63" i="20"/>
  <c r="AW63" i="20"/>
  <c r="AX63" i="20"/>
  <c r="AY63" i="20"/>
  <c r="AZ63" i="20"/>
  <c r="BA63" i="20"/>
  <c r="BB63" i="20"/>
  <c r="BC63" i="20"/>
  <c r="BD63" i="20"/>
  <c r="BE63" i="20"/>
  <c r="BF63" i="20"/>
  <c r="BG63" i="20"/>
  <c r="BH63" i="20"/>
  <c r="BI63" i="20"/>
  <c r="BJ63" i="20"/>
  <c r="BK63" i="20"/>
  <c r="BL63" i="20"/>
  <c r="BM63" i="20"/>
  <c r="BN63" i="20"/>
  <c r="BO63" i="20"/>
  <c r="BP63" i="20"/>
  <c r="BQ63" i="20"/>
  <c r="BR63" i="20"/>
  <c r="BS63" i="20"/>
  <c r="BT63" i="20"/>
  <c r="BU63" i="20"/>
  <c r="BV63" i="20"/>
  <c r="BW63" i="20"/>
  <c r="BX63" i="20"/>
  <c r="BY63" i="20"/>
  <c r="BZ63" i="20"/>
  <c r="CA63" i="20"/>
  <c r="CB63" i="20"/>
  <c r="CC63" i="20"/>
  <c r="CD63" i="20"/>
  <c r="CE63" i="20"/>
  <c r="CF63" i="20"/>
  <c r="CG63" i="20"/>
  <c r="CH63" i="20"/>
  <c r="CI63" i="20"/>
  <c r="CJ63" i="20"/>
  <c r="CK63" i="20"/>
  <c r="CL63" i="20"/>
  <c r="CM63" i="20"/>
  <c r="CN63" i="20"/>
  <c r="CO63" i="20"/>
  <c r="CP63" i="20"/>
  <c r="CQ63" i="20"/>
  <c r="CR63" i="20"/>
  <c r="CS63" i="20"/>
  <c r="CT63" i="20"/>
  <c r="CU63" i="20"/>
  <c r="CV63" i="20"/>
  <c r="CW63" i="20"/>
  <c r="CX63" i="20"/>
  <c r="CY63" i="20"/>
  <c r="CZ63" i="20"/>
  <c r="DA63" i="20"/>
  <c r="DB63" i="20"/>
  <c r="DC63" i="20"/>
  <c r="DD63" i="20"/>
  <c r="DE63" i="20"/>
  <c r="DF63" i="20"/>
  <c r="DG63" i="20"/>
  <c r="DH63" i="20"/>
  <c r="DI63" i="20"/>
  <c r="DJ63" i="20"/>
  <c r="DK63" i="20"/>
  <c r="DL63" i="20"/>
  <c r="DM63" i="20"/>
  <c r="DN63" i="20"/>
  <c r="DO63" i="20"/>
  <c r="DP63" i="20"/>
  <c r="DQ63" i="20"/>
  <c r="DR63" i="20"/>
  <c r="DS63" i="20"/>
  <c r="DT63" i="20"/>
  <c r="DU63" i="20"/>
  <c r="DV63" i="20"/>
  <c r="DW63" i="20"/>
  <c r="DX63" i="20"/>
  <c r="DY63" i="20"/>
  <c r="DZ63" i="20"/>
  <c r="EA63" i="20"/>
  <c r="EB63" i="20"/>
  <c r="EC63" i="20"/>
  <c r="ED63" i="20"/>
  <c r="EE63" i="20"/>
  <c r="EF63" i="20"/>
  <c r="EG63" i="20"/>
  <c r="EH63" i="20"/>
  <c r="EI63" i="20"/>
  <c r="EJ63" i="20"/>
  <c r="EK63" i="20"/>
  <c r="EL63" i="20"/>
  <c r="EM63" i="20"/>
  <c r="EN63" i="20"/>
  <c r="EO63" i="20"/>
  <c r="EP63" i="20"/>
  <c r="EQ63" i="20"/>
  <c r="ER63" i="20"/>
  <c r="ES63" i="20"/>
  <c r="ET63" i="20"/>
  <c r="EU63" i="20"/>
  <c r="EV63" i="20"/>
  <c r="EW63" i="20"/>
  <c r="EX63" i="20"/>
  <c r="EY63" i="20"/>
  <c r="EZ63" i="20"/>
  <c r="FA63" i="20"/>
  <c r="FB63" i="20"/>
  <c r="FC63" i="20"/>
  <c r="FD63" i="20"/>
  <c r="FE63" i="20"/>
  <c r="FF63" i="20"/>
  <c r="FG63" i="20"/>
  <c r="FH63" i="20"/>
  <c r="FI63" i="20"/>
  <c r="FJ63" i="20"/>
  <c r="FK63" i="20"/>
  <c r="FL63" i="20"/>
  <c r="FM63" i="20"/>
  <c r="FN63" i="20"/>
  <c r="FO63" i="20"/>
  <c r="FP63" i="20"/>
  <c r="FQ63" i="20"/>
  <c r="FR63" i="20"/>
  <c r="FS63" i="20"/>
  <c r="FT63" i="20"/>
  <c r="FU63" i="20"/>
  <c r="FV63" i="20"/>
  <c r="FW63" i="20"/>
  <c r="FX63" i="20"/>
  <c r="FY63" i="20"/>
  <c r="FZ63" i="20"/>
  <c r="GA63" i="20"/>
  <c r="GB63" i="20"/>
  <c r="GC63" i="20"/>
  <c r="GD63" i="20"/>
  <c r="GE63" i="20"/>
  <c r="GF63" i="20"/>
  <c r="GG63" i="20"/>
  <c r="GH63" i="20"/>
  <c r="GI63" i="20"/>
  <c r="GJ63" i="20"/>
  <c r="GK63" i="20"/>
  <c r="GL63" i="20"/>
  <c r="GM63" i="20"/>
  <c r="GN63" i="20"/>
  <c r="GO63" i="20"/>
  <c r="GP63" i="20"/>
  <c r="GQ63" i="20"/>
  <c r="GR63" i="20"/>
  <c r="GS63" i="20"/>
  <c r="GT63" i="20"/>
  <c r="GU63" i="20"/>
  <c r="GV63" i="20"/>
  <c r="GW63" i="20"/>
  <c r="GX63" i="20"/>
  <c r="GY63" i="20"/>
  <c r="GZ63" i="20"/>
  <c r="HA63" i="20"/>
  <c r="HB63" i="20"/>
  <c r="HC63" i="20"/>
  <c r="HD63" i="20"/>
  <c r="HE63" i="20"/>
  <c r="HF63" i="20"/>
  <c r="HG63" i="20"/>
  <c r="HH63" i="20"/>
  <c r="HI63" i="20"/>
  <c r="HJ63" i="20"/>
  <c r="HK63" i="20"/>
  <c r="HL63" i="20"/>
  <c r="HM63" i="20"/>
  <c r="HN63" i="20"/>
  <c r="HO63" i="20"/>
  <c r="HP63" i="20"/>
  <c r="HQ63" i="20"/>
  <c r="HR63" i="20"/>
  <c r="HS63" i="20"/>
  <c r="HT63" i="20"/>
  <c r="HU63" i="20"/>
  <c r="HV63" i="20"/>
  <c r="HW63" i="20"/>
  <c r="HX63" i="20"/>
  <c r="HY63" i="20"/>
  <c r="HZ63" i="20"/>
  <c r="IA63" i="20"/>
  <c r="IB63" i="20"/>
  <c r="IC63" i="20"/>
  <c r="ID63" i="20"/>
  <c r="IE63" i="20"/>
  <c r="IF63" i="20"/>
  <c r="IG63" i="20"/>
  <c r="IH63" i="20"/>
  <c r="II63" i="20"/>
  <c r="IJ63" i="20"/>
  <c r="IK63" i="20"/>
  <c r="IL63" i="20"/>
  <c r="IM63" i="20"/>
  <c r="IN63" i="20"/>
  <c r="IO63" i="20"/>
  <c r="IP63" i="20"/>
  <c r="IQ63" i="20"/>
  <c r="IR63" i="20"/>
  <c r="IS63" i="20"/>
  <c r="IT63" i="20"/>
  <c r="IU63" i="20"/>
  <c r="IV63" i="20"/>
  <c r="A62" i="20"/>
  <c r="B62" i="20"/>
  <c r="C62" i="20"/>
  <c r="D62" i="20"/>
  <c r="E62"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G62" i="20"/>
  <c r="AH62" i="20"/>
  <c r="AI62" i="20"/>
  <c r="AJ62" i="20"/>
  <c r="AK62" i="20"/>
  <c r="AL62" i="20"/>
  <c r="AM62" i="20"/>
  <c r="AN62" i="20"/>
  <c r="AO62" i="20"/>
  <c r="AP62" i="20"/>
  <c r="AQ62" i="20"/>
  <c r="AR62" i="20"/>
  <c r="AS62" i="20"/>
  <c r="AT62" i="20"/>
  <c r="AU62" i="20"/>
  <c r="AV62" i="20"/>
  <c r="AW62" i="20"/>
  <c r="AX62" i="20"/>
  <c r="AY62" i="20"/>
  <c r="AZ62" i="20"/>
  <c r="BA62" i="20"/>
  <c r="BB62" i="20"/>
  <c r="BC62" i="20"/>
  <c r="BD62" i="20"/>
  <c r="BE62" i="20"/>
  <c r="BF62" i="20"/>
  <c r="BG62" i="20"/>
  <c r="BH62" i="20"/>
  <c r="BI62" i="20"/>
  <c r="BJ62" i="20"/>
  <c r="BK62" i="20"/>
  <c r="BL62" i="20"/>
  <c r="BM62" i="20"/>
  <c r="BN62" i="20"/>
  <c r="BO62" i="20"/>
  <c r="BP62" i="20"/>
  <c r="BQ62" i="20"/>
  <c r="BR62" i="20"/>
  <c r="BS62" i="20"/>
  <c r="BT62" i="20"/>
  <c r="BU62" i="20"/>
  <c r="BV62" i="20"/>
  <c r="BW62" i="20"/>
  <c r="BX62" i="20"/>
  <c r="BY62" i="20"/>
  <c r="BZ62" i="20"/>
  <c r="CA62" i="20"/>
  <c r="CB62" i="20"/>
  <c r="CC62" i="20"/>
  <c r="CD62" i="20"/>
  <c r="CE62" i="20"/>
  <c r="CF62" i="20"/>
  <c r="CG62" i="20"/>
  <c r="CH62" i="20"/>
  <c r="CI62" i="20"/>
  <c r="CJ62" i="20"/>
  <c r="CK62" i="20"/>
  <c r="CL62" i="20"/>
  <c r="CM62" i="20"/>
  <c r="CN62" i="20"/>
  <c r="CO62" i="20"/>
  <c r="CP62" i="20"/>
  <c r="CQ62" i="20"/>
  <c r="CR62" i="20"/>
  <c r="CS62" i="20"/>
  <c r="CT62" i="20"/>
  <c r="CU62" i="20"/>
  <c r="CV62" i="20"/>
  <c r="CW62" i="20"/>
  <c r="CX62" i="20"/>
  <c r="CY62" i="20"/>
  <c r="CZ62" i="20"/>
  <c r="DA62" i="20"/>
  <c r="DB62" i="20"/>
  <c r="DC62" i="20"/>
  <c r="DD62" i="20"/>
  <c r="DE62" i="20"/>
  <c r="DF62" i="20"/>
  <c r="DG62" i="20"/>
  <c r="DH62" i="20"/>
  <c r="DI62" i="20"/>
  <c r="DJ62" i="20"/>
  <c r="DK62" i="20"/>
  <c r="DL62" i="20"/>
  <c r="DM62" i="20"/>
  <c r="DN62" i="20"/>
  <c r="DO62" i="20"/>
  <c r="DP62" i="20"/>
  <c r="DQ62" i="20"/>
  <c r="DR62" i="20"/>
  <c r="DS62" i="20"/>
  <c r="DT62" i="20"/>
  <c r="DU62" i="20"/>
  <c r="DV62" i="20"/>
  <c r="DW62" i="20"/>
  <c r="DX62" i="20"/>
  <c r="DY62" i="20"/>
  <c r="DZ62" i="20"/>
  <c r="EA62" i="20"/>
  <c r="EB62" i="20"/>
  <c r="EC62" i="20"/>
  <c r="ED62" i="20"/>
  <c r="EE62" i="20"/>
  <c r="EF62" i="20"/>
  <c r="EG62" i="20"/>
  <c r="EH62" i="20"/>
  <c r="EI62" i="20"/>
  <c r="EJ62" i="20"/>
  <c r="EK62" i="20"/>
  <c r="EL62" i="20"/>
  <c r="EM62" i="20"/>
  <c r="EN62" i="20"/>
  <c r="EO62" i="20"/>
  <c r="EP62" i="20"/>
  <c r="EQ62" i="20"/>
  <c r="ER62" i="20"/>
  <c r="ES62" i="20"/>
  <c r="ET62" i="20"/>
  <c r="EU62" i="20"/>
  <c r="EV62" i="20"/>
  <c r="EW62" i="20"/>
  <c r="EX62" i="20"/>
  <c r="EY62" i="20"/>
  <c r="EZ62" i="20"/>
  <c r="FA62" i="20"/>
  <c r="FB62" i="20"/>
  <c r="FC62" i="20"/>
  <c r="FD62" i="20"/>
  <c r="FE62" i="20"/>
  <c r="FF62" i="20"/>
  <c r="FG62" i="20"/>
  <c r="FH62" i="20"/>
  <c r="FI62" i="20"/>
  <c r="FJ62" i="20"/>
  <c r="FK62" i="20"/>
  <c r="FL62" i="20"/>
  <c r="FM62" i="20"/>
  <c r="FN62" i="20"/>
  <c r="FO62" i="20"/>
  <c r="FP62" i="20"/>
  <c r="FQ62" i="20"/>
  <c r="FR62" i="20"/>
  <c r="FS62" i="20"/>
  <c r="FT62" i="20"/>
  <c r="FU62" i="20"/>
  <c r="FV62" i="20"/>
  <c r="FW62" i="20"/>
  <c r="FX62" i="20"/>
  <c r="FY62" i="20"/>
  <c r="FZ62" i="20"/>
  <c r="GA62" i="20"/>
  <c r="GB62" i="20"/>
  <c r="GC62" i="20"/>
  <c r="GD62" i="20"/>
  <c r="GE62" i="20"/>
  <c r="GF62" i="20"/>
  <c r="GG62" i="20"/>
  <c r="GH62" i="20"/>
  <c r="GI62" i="20"/>
  <c r="GJ62" i="20"/>
  <c r="GK62" i="20"/>
  <c r="GL62" i="20"/>
  <c r="GM62" i="20"/>
  <c r="GN62" i="20"/>
  <c r="GO62" i="20"/>
  <c r="GP62" i="20"/>
  <c r="GQ62" i="20"/>
  <c r="GR62" i="20"/>
  <c r="GS62" i="20"/>
  <c r="GT62" i="20"/>
  <c r="GU62" i="20"/>
  <c r="GV62" i="20"/>
  <c r="GW62" i="20"/>
  <c r="GX62" i="20"/>
  <c r="GY62" i="20"/>
  <c r="GZ62" i="20"/>
  <c r="HA62" i="20"/>
  <c r="HB62" i="20"/>
  <c r="HC62" i="20"/>
  <c r="HD62" i="20"/>
  <c r="HE62" i="20"/>
  <c r="HF62" i="20"/>
  <c r="HG62" i="20"/>
  <c r="HH62" i="20"/>
  <c r="HI62" i="20"/>
  <c r="HJ62" i="20"/>
  <c r="HK62" i="20"/>
  <c r="HL62" i="20"/>
  <c r="HM62" i="20"/>
  <c r="HN62" i="20"/>
  <c r="HO62" i="20"/>
  <c r="HP62" i="20"/>
  <c r="HQ62" i="20"/>
  <c r="HR62" i="20"/>
  <c r="HS62" i="20"/>
  <c r="HT62" i="20"/>
  <c r="HU62" i="20"/>
  <c r="HV62" i="20"/>
  <c r="HW62" i="20"/>
  <c r="HX62" i="20"/>
  <c r="HY62" i="20"/>
  <c r="HZ62" i="20"/>
  <c r="IA62" i="20"/>
  <c r="IB62" i="20"/>
  <c r="IC62" i="20"/>
  <c r="ID62" i="20"/>
  <c r="IE62" i="20"/>
  <c r="IF62" i="20"/>
  <c r="IG62" i="20"/>
  <c r="IH62" i="20"/>
  <c r="II62" i="20"/>
  <c r="IJ62" i="20"/>
  <c r="IK62" i="20"/>
  <c r="IL62" i="20"/>
  <c r="IM62" i="20"/>
  <c r="IN62" i="20"/>
  <c r="IO62" i="20"/>
  <c r="IP62" i="20"/>
  <c r="IQ62" i="20"/>
  <c r="IR62" i="20"/>
  <c r="IS62" i="20"/>
  <c r="IT62" i="20"/>
  <c r="IU62" i="20"/>
  <c r="IV62" i="20"/>
  <c r="A61" i="20"/>
  <c r="B61" i="20"/>
  <c r="C61" i="20"/>
  <c r="D61" i="20"/>
  <c r="E61"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G61" i="20"/>
  <c r="AH61" i="20"/>
  <c r="AI61" i="20"/>
  <c r="AJ61" i="20"/>
  <c r="AK61" i="20"/>
  <c r="AL61" i="20"/>
  <c r="AM61" i="20"/>
  <c r="AN61" i="20"/>
  <c r="AO61" i="20"/>
  <c r="AP61" i="20"/>
  <c r="AQ61" i="20"/>
  <c r="AR61" i="20"/>
  <c r="AS61" i="20"/>
  <c r="AT61" i="20"/>
  <c r="AU61" i="20"/>
  <c r="AV61" i="20"/>
  <c r="AW61" i="20"/>
  <c r="AX61" i="20"/>
  <c r="AY61" i="20"/>
  <c r="AZ61" i="20"/>
  <c r="BA61" i="20"/>
  <c r="BB61" i="20"/>
  <c r="BC61" i="20"/>
  <c r="BD61" i="20"/>
  <c r="BE61" i="20"/>
  <c r="BF61" i="20"/>
  <c r="BG61" i="20"/>
  <c r="BH61" i="20"/>
  <c r="BI61" i="20"/>
  <c r="BJ61" i="20"/>
  <c r="BK61" i="20"/>
  <c r="BL61" i="20"/>
  <c r="BM61" i="20"/>
  <c r="BN61" i="20"/>
  <c r="BO61" i="20"/>
  <c r="BP61" i="20"/>
  <c r="BQ61" i="20"/>
  <c r="BR61" i="20"/>
  <c r="BS61" i="20"/>
  <c r="BT61" i="20"/>
  <c r="BU61" i="20"/>
  <c r="BV61" i="20"/>
  <c r="BW61" i="20"/>
  <c r="BX61" i="20"/>
  <c r="BY61" i="20"/>
  <c r="BZ61" i="20"/>
  <c r="CA61" i="20"/>
  <c r="CB61" i="20"/>
  <c r="CC61" i="20"/>
  <c r="CD61" i="20"/>
  <c r="CE61" i="20"/>
  <c r="CF61" i="20"/>
  <c r="CG61" i="20"/>
  <c r="CH61" i="20"/>
  <c r="CI61" i="20"/>
  <c r="CJ61" i="20"/>
  <c r="CK61" i="20"/>
  <c r="CL61" i="20"/>
  <c r="CM61" i="20"/>
  <c r="CN61" i="20"/>
  <c r="CO61" i="20"/>
  <c r="CP61" i="20"/>
  <c r="CQ61" i="20"/>
  <c r="CR61" i="20"/>
  <c r="CS61" i="20"/>
  <c r="CT61" i="20"/>
  <c r="CU61" i="20"/>
  <c r="CV61" i="20"/>
  <c r="CW61" i="20"/>
  <c r="CX61" i="20"/>
  <c r="CY61" i="20"/>
  <c r="CZ61" i="20"/>
  <c r="DA61" i="20"/>
  <c r="DB61" i="20"/>
  <c r="DC61" i="20"/>
  <c r="DD61" i="20"/>
  <c r="DE61" i="20"/>
  <c r="DF61" i="20"/>
  <c r="DG61" i="20"/>
  <c r="DH61" i="20"/>
  <c r="DI61" i="20"/>
  <c r="DJ61" i="20"/>
  <c r="DK61" i="20"/>
  <c r="DL61" i="20"/>
  <c r="DM61" i="20"/>
  <c r="DN61" i="20"/>
  <c r="DO61" i="20"/>
  <c r="DP61" i="20"/>
  <c r="DQ61" i="20"/>
  <c r="DR61" i="20"/>
  <c r="DS61" i="20"/>
  <c r="DT61" i="20"/>
  <c r="DU61" i="20"/>
  <c r="DV61" i="20"/>
  <c r="DW61" i="20"/>
  <c r="DX61" i="20"/>
  <c r="DY61" i="20"/>
  <c r="DZ61" i="20"/>
  <c r="EA61" i="20"/>
  <c r="EB61" i="20"/>
  <c r="EC61" i="20"/>
  <c r="ED61" i="20"/>
  <c r="EE61" i="20"/>
  <c r="EF61" i="20"/>
  <c r="EG61" i="20"/>
  <c r="EH61" i="20"/>
  <c r="EI61" i="20"/>
  <c r="EJ61" i="20"/>
  <c r="EK61" i="20"/>
  <c r="EL61" i="20"/>
  <c r="EM61" i="20"/>
  <c r="EN61" i="20"/>
  <c r="EO61" i="20"/>
  <c r="EP61" i="20"/>
  <c r="EQ61" i="20"/>
  <c r="ER61" i="20"/>
  <c r="ES61" i="20"/>
  <c r="ET61" i="20"/>
  <c r="EU61" i="20"/>
  <c r="EV61" i="20"/>
  <c r="EW61" i="20"/>
  <c r="EX61" i="20"/>
  <c r="EY61" i="20"/>
  <c r="EZ61" i="20"/>
  <c r="FA61" i="20"/>
  <c r="FB61" i="20"/>
  <c r="FC61" i="20"/>
  <c r="FD61" i="20"/>
  <c r="FE61" i="20"/>
  <c r="FF61" i="20"/>
  <c r="FG61" i="20"/>
  <c r="FH61" i="20"/>
  <c r="FI61" i="20"/>
  <c r="FJ61" i="20"/>
  <c r="FK61" i="20"/>
  <c r="FL61" i="20"/>
  <c r="FM61" i="20"/>
  <c r="FN61" i="20"/>
  <c r="FO61" i="20"/>
  <c r="FP61" i="20"/>
  <c r="FQ61" i="20"/>
  <c r="FR61" i="20"/>
  <c r="FS61" i="20"/>
  <c r="FT61" i="20"/>
  <c r="FU61" i="20"/>
  <c r="FV61" i="20"/>
  <c r="FW61" i="20"/>
  <c r="FX61" i="20"/>
  <c r="FY61" i="20"/>
  <c r="FZ61" i="20"/>
  <c r="GA61" i="20"/>
  <c r="GB61" i="20"/>
  <c r="GC61" i="20"/>
  <c r="GD61" i="20"/>
  <c r="GE61" i="20"/>
  <c r="GF61" i="20"/>
  <c r="GG61" i="20"/>
  <c r="GH61" i="20"/>
  <c r="GI61" i="20"/>
  <c r="GJ61" i="20"/>
  <c r="GK61" i="20"/>
  <c r="GL61" i="20"/>
  <c r="GM61" i="20"/>
  <c r="GN61" i="20"/>
  <c r="GO61" i="20"/>
  <c r="GP61" i="20"/>
  <c r="GQ61" i="20"/>
  <c r="GR61" i="20"/>
  <c r="GS61" i="20"/>
  <c r="GT61" i="20"/>
  <c r="GU61" i="20"/>
  <c r="GV61" i="20"/>
  <c r="GW61" i="20"/>
  <c r="GX61" i="20"/>
  <c r="GY61" i="20"/>
  <c r="GZ61" i="20"/>
  <c r="HA61" i="20"/>
  <c r="HB61" i="20"/>
  <c r="HC61" i="20"/>
  <c r="HD61" i="20"/>
  <c r="HE61" i="20"/>
  <c r="HF61" i="20"/>
  <c r="HG61" i="20"/>
  <c r="HH61" i="20"/>
  <c r="HI61" i="20"/>
  <c r="HJ61" i="20"/>
  <c r="HK61" i="20"/>
  <c r="HL61" i="20"/>
  <c r="HM61" i="20"/>
  <c r="HN61" i="20"/>
  <c r="HO61" i="20"/>
  <c r="HP61" i="20"/>
  <c r="HQ61" i="20"/>
  <c r="HR61" i="20"/>
  <c r="HS61" i="20"/>
  <c r="HT61" i="20"/>
  <c r="HU61" i="20"/>
  <c r="HV61" i="20"/>
  <c r="HW61" i="20"/>
  <c r="HX61" i="20"/>
  <c r="HY61" i="20"/>
  <c r="HZ61" i="20"/>
  <c r="IA61" i="20"/>
  <c r="IB61" i="20"/>
  <c r="IC61" i="20"/>
  <c r="ID61" i="20"/>
  <c r="IE61" i="20"/>
  <c r="IF61" i="20"/>
  <c r="IG61" i="20"/>
  <c r="IH61" i="20"/>
  <c r="II61" i="20"/>
  <c r="IJ61" i="20"/>
  <c r="IK61" i="20"/>
  <c r="IL61" i="20"/>
  <c r="IM61" i="20"/>
  <c r="IN61" i="20"/>
  <c r="IO61" i="20"/>
  <c r="IP61" i="20"/>
  <c r="IQ61" i="20"/>
  <c r="IR61" i="20"/>
  <c r="IS61" i="20"/>
  <c r="IT61" i="20"/>
  <c r="IU61" i="20"/>
  <c r="IV61" i="20"/>
  <c r="A60" i="20"/>
  <c r="B60" i="20"/>
  <c r="C60" i="20"/>
  <c r="D60" i="20"/>
  <c r="E60"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G60" i="20"/>
  <c r="AH60" i="20"/>
  <c r="AI60" i="20"/>
  <c r="AJ60" i="20"/>
  <c r="AK60" i="20"/>
  <c r="AL60" i="20"/>
  <c r="AM60" i="20"/>
  <c r="AN60" i="20"/>
  <c r="AO60" i="20"/>
  <c r="AP60" i="20"/>
  <c r="AQ60" i="20"/>
  <c r="AR60" i="20"/>
  <c r="AS60" i="20"/>
  <c r="AT60" i="20"/>
  <c r="AU60" i="20"/>
  <c r="AV60" i="20"/>
  <c r="AW60" i="20"/>
  <c r="AX60" i="20"/>
  <c r="AY60" i="20"/>
  <c r="AZ60" i="20"/>
  <c r="BA60" i="20"/>
  <c r="BB60" i="20"/>
  <c r="BC60" i="20"/>
  <c r="BD60" i="20"/>
  <c r="BE60" i="20"/>
  <c r="BF60" i="20"/>
  <c r="BG60" i="20"/>
  <c r="BH60" i="20"/>
  <c r="BI60" i="20"/>
  <c r="BJ60" i="20"/>
  <c r="BK60" i="20"/>
  <c r="BL60" i="20"/>
  <c r="BM60" i="20"/>
  <c r="BN60" i="20"/>
  <c r="BO60" i="20"/>
  <c r="BP60" i="20"/>
  <c r="BQ60" i="20"/>
  <c r="BR60" i="20"/>
  <c r="BS60" i="20"/>
  <c r="BT60" i="20"/>
  <c r="BU60" i="20"/>
  <c r="BV60" i="20"/>
  <c r="BW60" i="20"/>
  <c r="BX60" i="20"/>
  <c r="BY60" i="20"/>
  <c r="BZ60" i="20"/>
  <c r="CA60" i="20"/>
  <c r="CB60" i="20"/>
  <c r="CC60" i="20"/>
  <c r="CD60" i="20"/>
  <c r="CE60" i="20"/>
  <c r="CF60" i="20"/>
  <c r="CG60" i="20"/>
  <c r="CH60" i="20"/>
  <c r="CI60" i="20"/>
  <c r="CJ60" i="20"/>
  <c r="CK60" i="20"/>
  <c r="CL60" i="20"/>
  <c r="CM60" i="20"/>
  <c r="CN60" i="20"/>
  <c r="CO60" i="20"/>
  <c r="CP60" i="20"/>
  <c r="CQ60" i="20"/>
  <c r="CR60" i="20"/>
  <c r="CS60" i="20"/>
  <c r="CT60" i="20"/>
  <c r="CU60" i="20"/>
  <c r="CV60" i="20"/>
  <c r="CW60" i="20"/>
  <c r="CX60" i="20"/>
  <c r="CY60" i="20"/>
  <c r="CZ60" i="20"/>
  <c r="DA60" i="20"/>
  <c r="DB60" i="20"/>
  <c r="DC60" i="20"/>
  <c r="DD60" i="20"/>
  <c r="DE60" i="20"/>
  <c r="DF60" i="20"/>
  <c r="DG60" i="20"/>
  <c r="DH60" i="20"/>
  <c r="DI60" i="20"/>
  <c r="DJ60" i="20"/>
  <c r="DK60" i="20"/>
  <c r="DL60" i="20"/>
  <c r="DM60" i="20"/>
  <c r="DN60" i="20"/>
  <c r="DO60" i="20"/>
  <c r="DP60" i="20"/>
  <c r="DQ60" i="20"/>
  <c r="DR60" i="20"/>
  <c r="DS60" i="20"/>
  <c r="DT60" i="20"/>
  <c r="DU60" i="20"/>
  <c r="DV60" i="20"/>
  <c r="DW60" i="20"/>
  <c r="DX60" i="20"/>
  <c r="DY60" i="20"/>
  <c r="DZ60" i="20"/>
  <c r="EA60" i="20"/>
  <c r="EB60" i="20"/>
  <c r="EC60" i="20"/>
  <c r="ED60" i="20"/>
  <c r="EE60" i="20"/>
  <c r="EF60" i="20"/>
  <c r="EG60" i="20"/>
  <c r="EH60" i="20"/>
  <c r="EI60" i="20"/>
  <c r="EJ60" i="20"/>
  <c r="EK60" i="20"/>
  <c r="EL60" i="20"/>
  <c r="EM60" i="20"/>
  <c r="EN60" i="20"/>
  <c r="EO60" i="20"/>
  <c r="EP60" i="20"/>
  <c r="EQ60" i="20"/>
  <c r="ER60" i="20"/>
  <c r="ES60" i="20"/>
  <c r="ET60" i="20"/>
  <c r="EU60" i="20"/>
  <c r="EV60" i="20"/>
  <c r="EW60" i="20"/>
  <c r="EX60" i="20"/>
  <c r="EY60" i="20"/>
  <c r="EZ60" i="20"/>
  <c r="FA60" i="20"/>
  <c r="FB60" i="20"/>
  <c r="FC60" i="20"/>
  <c r="FD60" i="20"/>
  <c r="FE60" i="20"/>
  <c r="FF60" i="20"/>
  <c r="FG60" i="20"/>
  <c r="FH60" i="20"/>
  <c r="FI60" i="20"/>
  <c r="FJ60" i="20"/>
  <c r="FK60" i="20"/>
  <c r="FL60" i="20"/>
  <c r="FM60" i="20"/>
  <c r="FN60" i="20"/>
  <c r="FO60" i="20"/>
  <c r="FP60" i="20"/>
  <c r="FQ60" i="20"/>
  <c r="FR60" i="20"/>
  <c r="FS60" i="20"/>
  <c r="FT60" i="20"/>
  <c r="FU60" i="20"/>
  <c r="FV60" i="20"/>
  <c r="FW60" i="20"/>
  <c r="FX60" i="20"/>
  <c r="FY60" i="20"/>
  <c r="FZ60" i="20"/>
  <c r="GA60" i="20"/>
  <c r="GB60" i="20"/>
  <c r="GC60" i="20"/>
  <c r="GD60" i="20"/>
  <c r="GE60" i="20"/>
  <c r="GF60" i="20"/>
  <c r="GG60" i="20"/>
  <c r="GH60" i="20"/>
  <c r="GI60" i="20"/>
  <c r="GJ60" i="20"/>
  <c r="GK60" i="20"/>
  <c r="GL60" i="20"/>
  <c r="GM60" i="20"/>
  <c r="GN60" i="20"/>
  <c r="GO60" i="20"/>
  <c r="GP60" i="20"/>
  <c r="GQ60" i="20"/>
  <c r="GR60" i="20"/>
  <c r="GS60" i="20"/>
  <c r="GT60" i="20"/>
  <c r="GU60" i="20"/>
  <c r="GV60" i="20"/>
  <c r="GW60" i="20"/>
  <c r="GX60" i="20"/>
  <c r="GY60" i="20"/>
  <c r="GZ60" i="20"/>
  <c r="HA60" i="20"/>
  <c r="HB60" i="20"/>
  <c r="HC60" i="20"/>
  <c r="HD60" i="20"/>
  <c r="HE60" i="20"/>
  <c r="HF60" i="20"/>
  <c r="HG60" i="20"/>
  <c r="HH60" i="20"/>
  <c r="HI60" i="20"/>
  <c r="HJ60" i="20"/>
  <c r="HK60" i="20"/>
  <c r="HL60" i="20"/>
  <c r="HM60" i="20"/>
  <c r="HN60" i="20"/>
  <c r="HO60" i="20"/>
  <c r="HP60" i="20"/>
  <c r="HQ60" i="20"/>
  <c r="HR60" i="20"/>
  <c r="HS60" i="20"/>
  <c r="HT60" i="20"/>
  <c r="HU60" i="20"/>
  <c r="HV60" i="20"/>
  <c r="HW60" i="20"/>
  <c r="HX60" i="20"/>
  <c r="HY60" i="20"/>
  <c r="HZ60" i="20"/>
  <c r="IA60" i="20"/>
  <c r="IB60" i="20"/>
  <c r="IC60" i="20"/>
  <c r="ID60" i="20"/>
  <c r="IE60" i="20"/>
  <c r="IF60" i="20"/>
  <c r="IG60" i="20"/>
  <c r="IH60" i="20"/>
  <c r="II60" i="20"/>
  <c r="IJ60" i="20"/>
  <c r="IK60" i="20"/>
  <c r="IL60" i="20"/>
  <c r="IM60" i="20"/>
  <c r="IN60" i="20"/>
  <c r="IO60" i="20"/>
  <c r="IP60" i="20"/>
  <c r="IQ60" i="20"/>
  <c r="IR60" i="20"/>
  <c r="IS60" i="20"/>
  <c r="IT60" i="20"/>
  <c r="IU60" i="20"/>
  <c r="IV60" i="20"/>
  <c r="A59" i="20"/>
  <c r="B59" i="20"/>
  <c r="C59" i="20"/>
  <c r="D59" i="20"/>
  <c r="E59" i="20"/>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G59" i="20"/>
  <c r="AH59" i="20"/>
  <c r="AI59" i="20"/>
  <c r="AJ59" i="20"/>
  <c r="AK59" i="20"/>
  <c r="AL59" i="20"/>
  <c r="AM59" i="20"/>
  <c r="AN59" i="20"/>
  <c r="AO59" i="20"/>
  <c r="AP59" i="20"/>
  <c r="AQ59" i="20"/>
  <c r="AR59" i="20"/>
  <c r="AS59" i="20"/>
  <c r="AT59" i="20"/>
  <c r="AU59" i="20"/>
  <c r="AV59" i="20"/>
  <c r="AW59" i="20"/>
  <c r="AX59" i="20"/>
  <c r="AY59" i="20"/>
  <c r="AZ59" i="20"/>
  <c r="BA59" i="20"/>
  <c r="BB59" i="20"/>
  <c r="BC59" i="20"/>
  <c r="BD59" i="20"/>
  <c r="BE59" i="20"/>
  <c r="BF59" i="20"/>
  <c r="BG59" i="20"/>
  <c r="BH59" i="20"/>
  <c r="BI59" i="20"/>
  <c r="BJ59" i="20"/>
  <c r="BK59" i="20"/>
  <c r="BL59" i="20"/>
  <c r="BM59" i="20"/>
  <c r="BN59" i="20"/>
  <c r="BO59" i="20"/>
  <c r="BP59" i="20"/>
  <c r="BQ59" i="20"/>
  <c r="BR59" i="20"/>
  <c r="BS59" i="20"/>
  <c r="BT59" i="20"/>
  <c r="BU59" i="20"/>
  <c r="BV59" i="20"/>
  <c r="BW59" i="20"/>
  <c r="BX59" i="20"/>
  <c r="BY59" i="20"/>
  <c r="BZ59" i="20"/>
  <c r="CA59" i="20"/>
  <c r="CB59" i="20"/>
  <c r="CC59" i="20"/>
  <c r="CD59" i="20"/>
  <c r="CE59" i="20"/>
  <c r="CF59" i="20"/>
  <c r="CG59" i="20"/>
  <c r="CH59" i="20"/>
  <c r="CI59" i="20"/>
  <c r="CJ59" i="20"/>
  <c r="CK59" i="20"/>
  <c r="CL59" i="20"/>
  <c r="CM59" i="20"/>
  <c r="CN59" i="20"/>
  <c r="CO59" i="20"/>
  <c r="CP59" i="20"/>
  <c r="CQ59" i="20"/>
  <c r="CR59" i="20"/>
  <c r="CS59" i="20"/>
  <c r="CT59" i="20"/>
  <c r="CU59" i="20"/>
  <c r="CV59" i="20"/>
  <c r="CW59" i="20"/>
  <c r="CX59" i="20"/>
  <c r="CY59" i="20"/>
  <c r="CZ59" i="20"/>
  <c r="DA59" i="20"/>
  <c r="DB59" i="20"/>
  <c r="DC59" i="20"/>
  <c r="DD59" i="20"/>
  <c r="DE59" i="20"/>
  <c r="DF59" i="20"/>
  <c r="DG59" i="20"/>
  <c r="DH59" i="20"/>
  <c r="DI59" i="20"/>
  <c r="DJ59" i="20"/>
  <c r="DK59" i="20"/>
  <c r="DL59" i="20"/>
  <c r="DM59" i="20"/>
  <c r="DN59" i="20"/>
  <c r="DO59" i="20"/>
  <c r="DP59" i="20"/>
  <c r="DQ59" i="20"/>
  <c r="DR59" i="20"/>
  <c r="DS59" i="20"/>
  <c r="DT59" i="20"/>
  <c r="DU59" i="20"/>
  <c r="DV59" i="20"/>
  <c r="DW59" i="20"/>
  <c r="DX59" i="20"/>
  <c r="DY59" i="20"/>
  <c r="DZ59" i="20"/>
  <c r="EA59" i="20"/>
  <c r="EB59" i="20"/>
  <c r="EC59" i="20"/>
  <c r="ED59" i="20"/>
  <c r="EE59" i="20"/>
  <c r="EF59" i="20"/>
  <c r="EG59" i="20"/>
  <c r="EH59" i="20"/>
  <c r="EI59" i="20"/>
  <c r="EJ59" i="20"/>
  <c r="EK59" i="20"/>
  <c r="EL59" i="20"/>
  <c r="EM59" i="20"/>
  <c r="EN59" i="20"/>
  <c r="EO59" i="20"/>
  <c r="EP59" i="20"/>
  <c r="EQ59" i="20"/>
  <c r="ER59" i="20"/>
  <c r="ES59" i="20"/>
  <c r="ET59" i="20"/>
  <c r="EU59" i="20"/>
  <c r="EV59" i="20"/>
  <c r="EW59" i="20"/>
  <c r="EX59" i="20"/>
  <c r="EY59" i="20"/>
  <c r="EZ59" i="20"/>
  <c r="FA59" i="20"/>
  <c r="FB59" i="20"/>
  <c r="FC59" i="20"/>
  <c r="FD59" i="20"/>
  <c r="FE59" i="20"/>
  <c r="FF59" i="20"/>
  <c r="FG59" i="20"/>
  <c r="FH59" i="20"/>
  <c r="FI59" i="20"/>
  <c r="FJ59" i="20"/>
  <c r="FK59" i="20"/>
  <c r="FL59" i="20"/>
  <c r="FM59" i="20"/>
  <c r="FN59" i="20"/>
  <c r="FO59" i="20"/>
  <c r="FP59" i="20"/>
  <c r="FQ59" i="20"/>
  <c r="FR59" i="20"/>
  <c r="FS59" i="20"/>
  <c r="FT59" i="20"/>
  <c r="FU59" i="20"/>
  <c r="FV59" i="20"/>
  <c r="FW59" i="20"/>
  <c r="FX59" i="20"/>
  <c r="FY59" i="20"/>
  <c r="FZ59" i="20"/>
  <c r="GA59" i="20"/>
  <c r="GB59" i="20"/>
  <c r="GC59" i="20"/>
  <c r="GD59" i="20"/>
  <c r="GE59" i="20"/>
  <c r="GF59" i="20"/>
  <c r="GG59" i="20"/>
  <c r="GH59" i="20"/>
  <c r="GI59" i="20"/>
  <c r="GJ59" i="20"/>
  <c r="GK59" i="20"/>
  <c r="GL59" i="20"/>
  <c r="GM59" i="20"/>
  <c r="GN59" i="20"/>
  <c r="GO59" i="20"/>
  <c r="GP59" i="20"/>
  <c r="GQ59" i="20"/>
  <c r="GR59" i="20"/>
  <c r="GS59" i="20"/>
  <c r="GT59" i="20"/>
  <c r="GU59" i="20"/>
  <c r="GV59" i="20"/>
  <c r="GW59" i="20"/>
  <c r="GX59" i="20"/>
  <c r="GY59" i="20"/>
  <c r="GZ59" i="20"/>
  <c r="HA59" i="20"/>
  <c r="HB59" i="20"/>
  <c r="HC59" i="20"/>
  <c r="HD59" i="20"/>
  <c r="HE59" i="20"/>
  <c r="HF59" i="20"/>
  <c r="HG59" i="20"/>
  <c r="HH59" i="20"/>
  <c r="HI59" i="20"/>
  <c r="HJ59" i="20"/>
  <c r="HK59" i="20"/>
  <c r="HL59" i="20"/>
  <c r="HM59" i="20"/>
  <c r="HN59" i="20"/>
  <c r="HO59" i="20"/>
  <c r="HP59" i="20"/>
  <c r="HQ59" i="20"/>
  <c r="HR59" i="20"/>
  <c r="HS59" i="20"/>
  <c r="HT59" i="20"/>
  <c r="HU59" i="20"/>
  <c r="HV59" i="20"/>
  <c r="HW59" i="20"/>
  <c r="HX59" i="20"/>
  <c r="HY59" i="20"/>
  <c r="HZ59" i="20"/>
  <c r="IA59" i="20"/>
  <c r="IB59" i="20"/>
  <c r="IC59" i="20"/>
  <c r="ID59" i="20"/>
  <c r="IE59" i="20"/>
  <c r="IF59" i="20"/>
  <c r="IG59" i="20"/>
  <c r="IH59" i="20"/>
  <c r="II59" i="20"/>
  <c r="IJ59" i="20"/>
  <c r="IK59" i="20"/>
  <c r="IL59" i="20"/>
  <c r="IM59" i="20"/>
  <c r="IN59" i="20"/>
  <c r="IO59" i="20"/>
  <c r="IP59" i="20"/>
  <c r="IQ59" i="20"/>
  <c r="IR59" i="20"/>
  <c r="IS59" i="20"/>
  <c r="IT59" i="20"/>
  <c r="IU59" i="20"/>
  <c r="IV59" i="20"/>
  <c r="A58" i="20"/>
  <c r="B58" i="20"/>
  <c r="C58" i="20"/>
  <c r="D58" i="20"/>
  <c r="E58" i="20"/>
  <c r="F58"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G58" i="20"/>
  <c r="AH58" i="20"/>
  <c r="AI58" i="20"/>
  <c r="AJ58" i="20"/>
  <c r="AK58" i="20"/>
  <c r="AL58" i="20"/>
  <c r="AM58" i="20"/>
  <c r="AN58" i="20"/>
  <c r="AO58" i="20"/>
  <c r="AP58" i="20"/>
  <c r="AQ58" i="20"/>
  <c r="AR58" i="20"/>
  <c r="AS58" i="20"/>
  <c r="AT58" i="20"/>
  <c r="AU58" i="20"/>
  <c r="AV58" i="20"/>
  <c r="AW58" i="20"/>
  <c r="AX58" i="20"/>
  <c r="AY58" i="20"/>
  <c r="AZ58" i="20"/>
  <c r="BA58" i="20"/>
  <c r="BB58" i="20"/>
  <c r="BC58" i="20"/>
  <c r="BD58" i="20"/>
  <c r="BE58" i="20"/>
  <c r="BF58" i="20"/>
  <c r="BG58" i="20"/>
  <c r="BH58" i="20"/>
  <c r="BI58" i="20"/>
  <c r="BJ58" i="20"/>
  <c r="BK58" i="20"/>
  <c r="BL58" i="20"/>
  <c r="BM58" i="20"/>
  <c r="BN58" i="20"/>
  <c r="BO58" i="20"/>
  <c r="BP58" i="20"/>
  <c r="BQ58" i="20"/>
  <c r="BR58" i="20"/>
  <c r="BS58" i="20"/>
  <c r="BT58" i="20"/>
  <c r="BU58" i="20"/>
  <c r="BV58" i="20"/>
  <c r="BW58" i="20"/>
  <c r="BX58" i="20"/>
  <c r="BY58" i="20"/>
  <c r="BZ58" i="20"/>
  <c r="CA58" i="20"/>
  <c r="CB58" i="20"/>
  <c r="CC58" i="20"/>
  <c r="CD58" i="20"/>
  <c r="CE58" i="20"/>
  <c r="CF58" i="20"/>
  <c r="CG58" i="20"/>
  <c r="CH58" i="20"/>
  <c r="CI58" i="20"/>
  <c r="CJ58" i="20"/>
  <c r="CK58" i="20"/>
  <c r="CL58" i="20"/>
  <c r="CM58" i="20"/>
  <c r="CN58" i="20"/>
  <c r="CO58" i="20"/>
  <c r="CP58" i="20"/>
  <c r="CQ58" i="20"/>
  <c r="CR58" i="20"/>
  <c r="CS58" i="20"/>
  <c r="CT58" i="20"/>
  <c r="CU58" i="20"/>
  <c r="CV58" i="20"/>
  <c r="CW58" i="20"/>
  <c r="CX58" i="20"/>
  <c r="CY58" i="20"/>
  <c r="CZ58" i="20"/>
  <c r="DA58" i="20"/>
  <c r="DB58" i="20"/>
  <c r="DC58" i="20"/>
  <c r="DD58" i="20"/>
  <c r="DE58" i="20"/>
  <c r="DF58" i="20"/>
  <c r="DG58" i="20"/>
  <c r="DH58" i="20"/>
  <c r="DI58" i="20"/>
  <c r="DJ58" i="20"/>
  <c r="DK58" i="20"/>
  <c r="DL58" i="20"/>
  <c r="DM58" i="20"/>
  <c r="DN58" i="20"/>
  <c r="DO58" i="20"/>
  <c r="DP58" i="20"/>
  <c r="DQ58" i="20"/>
  <c r="DR58" i="20"/>
  <c r="DS58" i="20"/>
  <c r="DT58" i="20"/>
  <c r="DU58" i="20"/>
  <c r="DV58" i="20"/>
  <c r="DW58" i="20"/>
  <c r="DX58" i="20"/>
  <c r="DY58" i="20"/>
  <c r="DZ58" i="20"/>
  <c r="EA58" i="20"/>
  <c r="EB58" i="20"/>
  <c r="EC58" i="20"/>
  <c r="ED58" i="20"/>
  <c r="EE58" i="20"/>
  <c r="EF58" i="20"/>
  <c r="EG58" i="20"/>
  <c r="EH58" i="20"/>
  <c r="EI58" i="20"/>
  <c r="EJ58" i="20"/>
  <c r="EK58" i="20"/>
  <c r="EL58" i="20"/>
  <c r="EM58" i="20"/>
  <c r="EN58" i="20"/>
  <c r="EO58" i="20"/>
  <c r="EP58" i="20"/>
  <c r="EQ58" i="20"/>
  <c r="ER58" i="20"/>
  <c r="ES58" i="20"/>
  <c r="ET58" i="20"/>
  <c r="EU58" i="20"/>
  <c r="EV58" i="20"/>
  <c r="EW58" i="20"/>
  <c r="EX58" i="20"/>
  <c r="EY58" i="20"/>
  <c r="EZ58" i="20"/>
  <c r="FA58" i="20"/>
  <c r="FB58" i="20"/>
  <c r="FC58" i="20"/>
  <c r="FD58" i="20"/>
  <c r="FE58" i="20"/>
  <c r="FF58" i="20"/>
  <c r="FG58" i="20"/>
  <c r="FH58" i="20"/>
  <c r="FI58" i="20"/>
  <c r="FJ58" i="20"/>
  <c r="FK58" i="20"/>
  <c r="FL58" i="20"/>
  <c r="FM58" i="20"/>
  <c r="FN58" i="20"/>
  <c r="FO58" i="20"/>
  <c r="FP58" i="20"/>
  <c r="FQ58" i="20"/>
  <c r="FR58" i="20"/>
  <c r="FS58" i="20"/>
  <c r="FT58" i="20"/>
  <c r="FU58" i="20"/>
  <c r="FV58" i="20"/>
  <c r="FW58" i="20"/>
  <c r="FX58" i="20"/>
  <c r="FY58" i="20"/>
  <c r="FZ58" i="20"/>
  <c r="GA58" i="20"/>
  <c r="GB58" i="20"/>
  <c r="GC58" i="20"/>
  <c r="GD58" i="20"/>
  <c r="GE58" i="20"/>
  <c r="GF58" i="20"/>
  <c r="GG58" i="20"/>
  <c r="GH58" i="20"/>
  <c r="GI58" i="20"/>
  <c r="GJ58" i="20"/>
  <c r="GK58" i="20"/>
  <c r="GL58" i="20"/>
  <c r="GM58" i="20"/>
  <c r="GN58" i="20"/>
  <c r="GO58" i="20"/>
  <c r="GP58" i="20"/>
  <c r="GQ58" i="20"/>
  <c r="GR58" i="20"/>
  <c r="GS58" i="20"/>
  <c r="GT58" i="20"/>
  <c r="GU58" i="20"/>
  <c r="GV58" i="20"/>
  <c r="GW58" i="20"/>
  <c r="GX58" i="20"/>
  <c r="GY58" i="20"/>
  <c r="GZ58" i="20"/>
  <c r="HA58" i="20"/>
  <c r="HB58" i="20"/>
  <c r="HC58" i="20"/>
  <c r="HD58" i="20"/>
  <c r="HE58" i="20"/>
  <c r="HF58" i="20"/>
  <c r="HG58" i="20"/>
  <c r="HH58" i="20"/>
  <c r="HI58" i="20"/>
  <c r="HJ58" i="20"/>
  <c r="HK58" i="20"/>
  <c r="HL58" i="20"/>
  <c r="HM58" i="20"/>
  <c r="HN58" i="20"/>
  <c r="HO58" i="20"/>
  <c r="HP58" i="20"/>
  <c r="HQ58" i="20"/>
  <c r="HR58" i="20"/>
  <c r="HS58" i="20"/>
  <c r="HT58" i="20"/>
  <c r="HU58" i="20"/>
  <c r="HV58" i="20"/>
  <c r="HW58" i="20"/>
  <c r="HX58" i="20"/>
  <c r="HY58" i="20"/>
  <c r="HZ58" i="20"/>
  <c r="IA58" i="20"/>
  <c r="IB58" i="20"/>
  <c r="IC58" i="20"/>
  <c r="ID58" i="20"/>
  <c r="IE58" i="20"/>
  <c r="IF58" i="20"/>
  <c r="IG58" i="20"/>
  <c r="IH58" i="20"/>
  <c r="II58" i="20"/>
  <c r="IJ58" i="20"/>
  <c r="IK58" i="20"/>
  <c r="IL58" i="20"/>
  <c r="IM58" i="20"/>
  <c r="IN58" i="20"/>
  <c r="IO58" i="20"/>
  <c r="IP58" i="20"/>
  <c r="IQ58" i="20"/>
  <c r="IR58" i="20"/>
  <c r="IS58" i="20"/>
  <c r="IT58" i="20"/>
  <c r="IU58" i="20"/>
  <c r="IV58" i="20"/>
  <c r="A57" i="20"/>
  <c r="B57" i="20"/>
  <c r="C57" i="20"/>
  <c r="D57" i="20"/>
  <c r="E57"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G57" i="20"/>
  <c r="AH57" i="20"/>
  <c r="AI57" i="20"/>
  <c r="AJ57" i="20"/>
  <c r="AK57" i="20"/>
  <c r="AL57" i="20"/>
  <c r="AM57" i="20"/>
  <c r="AN57" i="20"/>
  <c r="AO57" i="20"/>
  <c r="AP57" i="20"/>
  <c r="AQ57" i="20"/>
  <c r="AR57" i="20"/>
  <c r="AS57" i="20"/>
  <c r="AT57" i="20"/>
  <c r="AU57" i="20"/>
  <c r="AV57" i="20"/>
  <c r="AW57" i="20"/>
  <c r="AX57" i="20"/>
  <c r="AY57" i="20"/>
  <c r="AZ57" i="20"/>
  <c r="BA57" i="20"/>
  <c r="BB57" i="20"/>
  <c r="BC57" i="20"/>
  <c r="BD57" i="20"/>
  <c r="BE57" i="20"/>
  <c r="BF57" i="20"/>
  <c r="BG57" i="20"/>
  <c r="BH57" i="20"/>
  <c r="BI57" i="20"/>
  <c r="BJ57" i="20"/>
  <c r="BK57" i="20"/>
  <c r="BL57" i="20"/>
  <c r="BM57" i="20"/>
  <c r="BN57" i="20"/>
  <c r="BO57" i="20"/>
  <c r="BP57" i="20"/>
  <c r="BQ57" i="20"/>
  <c r="BR57" i="20"/>
  <c r="BS57" i="20"/>
  <c r="BT57" i="20"/>
  <c r="BU57" i="20"/>
  <c r="BV57" i="20"/>
  <c r="BW57" i="20"/>
  <c r="BX57" i="20"/>
  <c r="BY57" i="20"/>
  <c r="BZ57" i="20"/>
  <c r="CA57" i="20"/>
  <c r="CB57" i="20"/>
  <c r="CC57" i="20"/>
  <c r="CD57" i="20"/>
  <c r="CE57" i="20"/>
  <c r="CF57" i="20"/>
  <c r="CG57" i="20"/>
  <c r="CH57" i="20"/>
  <c r="CI57" i="20"/>
  <c r="CJ57" i="20"/>
  <c r="CK57" i="20"/>
  <c r="CL57" i="20"/>
  <c r="CM57" i="20"/>
  <c r="CN57" i="20"/>
  <c r="CO57" i="20"/>
  <c r="CP57" i="20"/>
  <c r="CQ57" i="20"/>
  <c r="CR57" i="20"/>
  <c r="CS57" i="20"/>
  <c r="CT57" i="20"/>
  <c r="CU57" i="20"/>
  <c r="CV57" i="20"/>
  <c r="CW57" i="20"/>
  <c r="CX57" i="20"/>
  <c r="CY57" i="20"/>
  <c r="CZ57" i="20"/>
  <c r="DA57" i="20"/>
  <c r="DB57" i="20"/>
  <c r="DC57" i="20"/>
  <c r="DD57" i="20"/>
  <c r="DE57" i="20"/>
  <c r="DF57" i="20"/>
  <c r="DG57" i="20"/>
  <c r="DH57" i="20"/>
  <c r="DI57" i="20"/>
  <c r="DJ57" i="20"/>
  <c r="DK57" i="20"/>
  <c r="DL57" i="20"/>
  <c r="DM57" i="20"/>
  <c r="DN57" i="20"/>
  <c r="DO57" i="20"/>
  <c r="DP57" i="20"/>
  <c r="DQ57" i="20"/>
  <c r="DR57" i="20"/>
  <c r="DS57" i="20"/>
  <c r="DT57" i="20"/>
  <c r="DU57" i="20"/>
  <c r="DV57" i="20"/>
  <c r="DW57" i="20"/>
  <c r="DX57" i="20"/>
  <c r="DY57" i="20"/>
  <c r="DZ57" i="20"/>
  <c r="EA57" i="20"/>
  <c r="EB57" i="20"/>
  <c r="EC57" i="20"/>
  <c r="ED57" i="20"/>
  <c r="EE57" i="20"/>
  <c r="EF57" i="20"/>
  <c r="EG57" i="20"/>
  <c r="EH57" i="20"/>
  <c r="EI57" i="20"/>
  <c r="EJ57" i="20"/>
  <c r="EK57" i="20"/>
  <c r="EL57" i="20"/>
  <c r="EM57" i="20"/>
  <c r="EN57" i="20"/>
  <c r="EO57" i="20"/>
  <c r="EP57" i="20"/>
  <c r="EQ57" i="20"/>
  <c r="ER57" i="20"/>
  <c r="ES57" i="20"/>
  <c r="ET57" i="20"/>
  <c r="EU57" i="20"/>
  <c r="EV57" i="20"/>
  <c r="EW57" i="20"/>
  <c r="EX57" i="20"/>
  <c r="EY57" i="20"/>
  <c r="EZ57" i="20"/>
  <c r="FA57" i="20"/>
  <c r="FB57" i="20"/>
  <c r="FC57" i="20"/>
  <c r="FD57" i="20"/>
  <c r="FE57" i="20"/>
  <c r="FF57" i="20"/>
  <c r="FG57" i="20"/>
  <c r="FH57" i="20"/>
  <c r="FI57" i="20"/>
  <c r="FJ57" i="20"/>
  <c r="FK57" i="20"/>
  <c r="FL57" i="20"/>
  <c r="FM57" i="20"/>
  <c r="FN57" i="20"/>
  <c r="FO57" i="20"/>
  <c r="FP57" i="20"/>
  <c r="FQ57" i="20"/>
  <c r="FR57" i="20"/>
  <c r="FS57" i="20"/>
  <c r="FT57" i="20"/>
  <c r="FU57" i="20"/>
  <c r="FV57" i="20"/>
  <c r="FW57" i="20"/>
  <c r="FX57" i="20"/>
  <c r="FY57" i="20"/>
  <c r="FZ57" i="20"/>
  <c r="GA57" i="20"/>
  <c r="GB57" i="20"/>
  <c r="GC57" i="20"/>
  <c r="GD57" i="20"/>
  <c r="GE57" i="20"/>
  <c r="GF57" i="20"/>
  <c r="GG57" i="20"/>
  <c r="GH57" i="20"/>
  <c r="GI57" i="20"/>
  <c r="GJ57" i="20"/>
  <c r="GK57" i="20"/>
  <c r="GL57" i="20"/>
  <c r="GM57" i="20"/>
  <c r="GN57" i="20"/>
  <c r="GO57" i="20"/>
  <c r="GP57" i="20"/>
  <c r="GQ57" i="20"/>
  <c r="GR57" i="20"/>
  <c r="GS57" i="20"/>
  <c r="GT57" i="20"/>
  <c r="GU57" i="20"/>
  <c r="GV57" i="20"/>
  <c r="GW57" i="20"/>
  <c r="GX57" i="20"/>
  <c r="GY57" i="20"/>
  <c r="GZ57" i="20"/>
  <c r="HA57" i="20"/>
  <c r="HB57" i="20"/>
  <c r="HC57" i="20"/>
  <c r="HD57" i="20"/>
  <c r="HE57" i="20"/>
  <c r="HF57" i="20"/>
  <c r="HG57" i="20"/>
  <c r="HH57" i="20"/>
  <c r="HI57" i="20"/>
  <c r="HJ57" i="20"/>
  <c r="HK57" i="20"/>
  <c r="HL57" i="20"/>
  <c r="HM57" i="20"/>
  <c r="HN57" i="20"/>
  <c r="HO57" i="20"/>
  <c r="HP57" i="20"/>
  <c r="HQ57" i="20"/>
  <c r="HR57" i="20"/>
  <c r="HS57" i="20"/>
  <c r="HT57" i="20"/>
  <c r="HU57" i="20"/>
  <c r="HV57" i="20"/>
  <c r="HW57" i="20"/>
  <c r="HX57" i="20"/>
  <c r="HY57" i="20"/>
  <c r="HZ57" i="20"/>
  <c r="IA57" i="20"/>
  <c r="IB57" i="20"/>
  <c r="IC57" i="20"/>
  <c r="ID57" i="20"/>
  <c r="IE57" i="20"/>
  <c r="IF57" i="20"/>
  <c r="IG57" i="20"/>
  <c r="IH57" i="20"/>
  <c r="II57" i="20"/>
  <c r="IJ57" i="20"/>
  <c r="IK57" i="20"/>
  <c r="IL57" i="20"/>
  <c r="IM57" i="20"/>
  <c r="IN57" i="20"/>
  <c r="IO57" i="20"/>
  <c r="IP57" i="20"/>
  <c r="IQ57" i="20"/>
  <c r="IR57" i="20"/>
  <c r="IS57" i="20"/>
  <c r="IT57" i="20"/>
  <c r="IU57" i="20"/>
  <c r="IV57" i="20"/>
  <c r="A56" i="20"/>
  <c r="B56" i="20"/>
  <c r="C56" i="20"/>
  <c r="D56" i="20"/>
  <c r="E56"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G56" i="20"/>
  <c r="AH56" i="20"/>
  <c r="AI56" i="20"/>
  <c r="AJ56" i="20"/>
  <c r="AK56" i="20"/>
  <c r="AL56" i="20"/>
  <c r="AM56" i="20"/>
  <c r="AN56" i="20"/>
  <c r="AO56" i="20"/>
  <c r="AP56" i="20"/>
  <c r="AQ56" i="20"/>
  <c r="AR56" i="20"/>
  <c r="AS56" i="20"/>
  <c r="AT56" i="20"/>
  <c r="AU56" i="20"/>
  <c r="AV56" i="20"/>
  <c r="AW56" i="20"/>
  <c r="AX56" i="20"/>
  <c r="AY56" i="20"/>
  <c r="AZ56" i="20"/>
  <c r="BA56" i="20"/>
  <c r="BB56" i="20"/>
  <c r="BC56" i="20"/>
  <c r="BD56" i="20"/>
  <c r="BE56" i="20"/>
  <c r="BF56" i="20"/>
  <c r="BG56" i="20"/>
  <c r="BH56" i="20"/>
  <c r="BI56" i="20"/>
  <c r="BJ56" i="20"/>
  <c r="BK56" i="20"/>
  <c r="BL56" i="20"/>
  <c r="BM56" i="20"/>
  <c r="BN56" i="20"/>
  <c r="BO56" i="20"/>
  <c r="BP56" i="20"/>
  <c r="BQ56" i="20"/>
  <c r="BR56" i="20"/>
  <c r="BS56" i="20"/>
  <c r="BT56" i="20"/>
  <c r="BU56" i="20"/>
  <c r="BV56" i="20"/>
  <c r="BW56" i="20"/>
  <c r="BX56" i="20"/>
  <c r="BY56" i="20"/>
  <c r="BZ56" i="20"/>
  <c r="CA56" i="20"/>
  <c r="CB56" i="20"/>
  <c r="CC56" i="20"/>
  <c r="CD56" i="20"/>
  <c r="CE56" i="20"/>
  <c r="CF56" i="20"/>
  <c r="CG56" i="20"/>
  <c r="CH56" i="20"/>
  <c r="CI56" i="20"/>
  <c r="CJ56" i="20"/>
  <c r="CK56" i="20"/>
  <c r="CL56" i="20"/>
  <c r="CM56" i="20"/>
  <c r="CN56" i="20"/>
  <c r="CO56" i="20"/>
  <c r="CP56" i="20"/>
  <c r="CQ56" i="20"/>
  <c r="CR56" i="20"/>
  <c r="CS56" i="20"/>
  <c r="CT56" i="20"/>
  <c r="CU56" i="20"/>
  <c r="CV56" i="20"/>
  <c r="CW56" i="20"/>
  <c r="CX56" i="20"/>
  <c r="CY56" i="20"/>
  <c r="CZ56" i="20"/>
  <c r="DA56" i="20"/>
  <c r="DB56" i="20"/>
  <c r="DC56" i="20"/>
  <c r="DD56" i="20"/>
  <c r="DE56" i="20"/>
  <c r="DF56" i="20"/>
  <c r="DG56" i="20"/>
  <c r="DH56" i="20"/>
  <c r="DI56" i="20"/>
  <c r="DJ56" i="20"/>
  <c r="DK56" i="20"/>
  <c r="DL56" i="20"/>
  <c r="DM56" i="20"/>
  <c r="DN56" i="20"/>
  <c r="DO56" i="20"/>
  <c r="DP56" i="20"/>
  <c r="DQ56" i="20"/>
  <c r="DR56" i="20"/>
  <c r="DS56" i="20"/>
  <c r="DT56" i="20"/>
  <c r="DU56" i="20"/>
  <c r="DV56" i="20"/>
  <c r="DW56" i="20"/>
  <c r="DX56" i="20"/>
  <c r="DY56" i="20"/>
  <c r="DZ56" i="20"/>
  <c r="EA56" i="20"/>
  <c r="EB56" i="20"/>
  <c r="EC56" i="20"/>
  <c r="ED56" i="20"/>
  <c r="EE56" i="20"/>
  <c r="EF56" i="20"/>
  <c r="EG56" i="20"/>
  <c r="EH56" i="20"/>
  <c r="EI56" i="20"/>
  <c r="EJ56" i="20"/>
  <c r="EK56" i="20"/>
  <c r="EL56" i="20"/>
  <c r="EM56" i="20"/>
  <c r="EN56" i="20"/>
  <c r="EO56" i="20"/>
  <c r="EP56" i="20"/>
  <c r="EQ56" i="20"/>
  <c r="ER56" i="20"/>
  <c r="ES56" i="20"/>
  <c r="ET56" i="20"/>
  <c r="EU56" i="20"/>
  <c r="EV56" i="20"/>
  <c r="EW56" i="20"/>
  <c r="EX56" i="20"/>
  <c r="EY56" i="20"/>
  <c r="EZ56" i="20"/>
  <c r="FA56" i="20"/>
  <c r="FB56" i="20"/>
  <c r="FC56" i="20"/>
  <c r="FD56" i="20"/>
  <c r="FE56" i="20"/>
  <c r="FF56" i="20"/>
  <c r="FG56" i="20"/>
  <c r="FH56" i="20"/>
  <c r="FI56" i="20"/>
  <c r="FJ56" i="20"/>
  <c r="FK56" i="20"/>
  <c r="FL56" i="20"/>
  <c r="FM56" i="20"/>
  <c r="FN56" i="20"/>
  <c r="FO56" i="20"/>
  <c r="FP56" i="20"/>
  <c r="FQ56" i="20"/>
  <c r="FR56" i="20"/>
  <c r="FS56" i="20"/>
  <c r="FT56" i="20"/>
  <c r="FU56" i="20"/>
  <c r="FV56" i="20"/>
  <c r="FW56" i="20"/>
  <c r="FX56" i="20"/>
  <c r="FY56" i="20"/>
  <c r="FZ56" i="20"/>
  <c r="GA56" i="20"/>
  <c r="GB56" i="20"/>
  <c r="GC56" i="20"/>
  <c r="GD56" i="20"/>
  <c r="GE56" i="20"/>
  <c r="GF56" i="20"/>
  <c r="GG56" i="20"/>
  <c r="GH56" i="20"/>
  <c r="GI56" i="20"/>
  <c r="GJ56" i="20"/>
  <c r="GK56" i="20"/>
  <c r="GL56" i="20"/>
  <c r="GM56" i="20"/>
  <c r="GN56" i="20"/>
  <c r="GO56" i="20"/>
  <c r="GP56" i="20"/>
  <c r="GQ56" i="20"/>
  <c r="GR56" i="20"/>
  <c r="GS56" i="20"/>
  <c r="GT56" i="20"/>
  <c r="GU56" i="20"/>
  <c r="GV56" i="20"/>
  <c r="GW56" i="20"/>
  <c r="GX56" i="20"/>
  <c r="GY56" i="20"/>
  <c r="GZ56" i="20"/>
  <c r="HA56" i="20"/>
  <c r="HB56" i="20"/>
  <c r="HC56" i="20"/>
  <c r="HD56" i="20"/>
  <c r="HE56" i="20"/>
  <c r="HF56" i="20"/>
  <c r="HG56" i="20"/>
  <c r="HH56" i="20"/>
  <c r="HI56" i="20"/>
  <c r="HJ56" i="20"/>
  <c r="HK56" i="20"/>
  <c r="HL56" i="20"/>
  <c r="HM56" i="20"/>
  <c r="HN56" i="20"/>
  <c r="HO56" i="20"/>
  <c r="HP56" i="20"/>
  <c r="HQ56" i="20"/>
  <c r="HR56" i="20"/>
  <c r="HS56" i="20"/>
  <c r="HT56" i="20"/>
  <c r="HU56" i="20"/>
  <c r="HV56" i="20"/>
  <c r="HW56" i="20"/>
  <c r="HX56" i="20"/>
  <c r="HY56" i="20"/>
  <c r="HZ56" i="20"/>
  <c r="IA56" i="20"/>
  <c r="IB56" i="20"/>
  <c r="IC56" i="20"/>
  <c r="ID56" i="20"/>
  <c r="IE56" i="20"/>
  <c r="IF56" i="20"/>
  <c r="IG56" i="20"/>
  <c r="IH56" i="20"/>
  <c r="II56" i="20"/>
  <c r="IJ56" i="20"/>
  <c r="IK56" i="20"/>
  <c r="IL56" i="20"/>
  <c r="IM56" i="20"/>
  <c r="IN56" i="20"/>
  <c r="IO56" i="20"/>
  <c r="IP56" i="20"/>
  <c r="IQ56" i="20"/>
  <c r="IR56" i="20"/>
  <c r="IS56" i="20"/>
  <c r="IT56" i="20"/>
  <c r="IU56" i="20"/>
  <c r="IV56" i="20"/>
  <c r="A55" i="20"/>
  <c r="B55" i="20"/>
  <c r="C55" i="20"/>
  <c r="D55" i="20"/>
  <c r="E55"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G55" i="20"/>
  <c r="AH55" i="20"/>
  <c r="AI55" i="20"/>
  <c r="AJ55" i="20"/>
  <c r="AK55" i="20"/>
  <c r="AL55" i="20"/>
  <c r="AM55" i="20"/>
  <c r="AN55" i="20"/>
  <c r="AO55" i="20"/>
  <c r="AP55" i="20"/>
  <c r="AQ55" i="20"/>
  <c r="AR55" i="20"/>
  <c r="AS55" i="20"/>
  <c r="AT55" i="20"/>
  <c r="AU55" i="20"/>
  <c r="AV55" i="20"/>
  <c r="AW55" i="20"/>
  <c r="AX55" i="20"/>
  <c r="AY55" i="20"/>
  <c r="AZ55" i="20"/>
  <c r="BA55" i="20"/>
  <c r="BB55" i="20"/>
  <c r="BC55" i="20"/>
  <c r="BD55" i="20"/>
  <c r="BE55" i="20"/>
  <c r="BF55" i="20"/>
  <c r="BG55" i="20"/>
  <c r="BH55" i="20"/>
  <c r="BI55" i="20"/>
  <c r="BJ55" i="20"/>
  <c r="BK55" i="20"/>
  <c r="BL55" i="20"/>
  <c r="BM55" i="20"/>
  <c r="BN55" i="20"/>
  <c r="BO55" i="20"/>
  <c r="BP55" i="20"/>
  <c r="BQ55" i="20"/>
  <c r="BR55" i="20"/>
  <c r="BS55" i="20"/>
  <c r="BT55" i="20"/>
  <c r="BU55" i="20"/>
  <c r="BV55" i="20"/>
  <c r="BW55" i="20"/>
  <c r="BX55" i="20"/>
  <c r="BY55" i="20"/>
  <c r="BZ55" i="20"/>
  <c r="CA55" i="20"/>
  <c r="CB55" i="20"/>
  <c r="CC55" i="20"/>
  <c r="CD55" i="20"/>
  <c r="CE55" i="20"/>
  <c r="CF55" i="20"/>
  <c r="CG55" i="20"/>
  <c r="CH55" i="20"/>
  <c r="CI55" i="20"/>
  <c r="CJ55" i="20"/>
  <c r="CK55" i="20"/>
  <c r="CL55" i="20"/>
  <c r="CM55" i="20"/>
  <c r="CN55" i="20"/>
  <c r="CO55" i="20"/>
  <c r="CP55" i="20"/>
  <c r="CQ55" i="20"/>
  <c r="CR55" i="20"/>
  <c r="CS55" i="20"/>
  <c r="CT55" i="20"/>
  <c r="CU55" i="20"/>
  <c r="CV55" i="20"/>
  <c r="CW55" i="20"/>
  <c r="CX55" i="20"/>
  <c r="CY55" i="20"/>
  <c r="CZ55" i="20"/>
  <c r="DA55" i="20"/>
  <c r="DB55" i="20"/>
  <c r="DC55" i="20"/>
  <c r="DD55" i="20"/>
  <c r="DE55" i="20"/>
  <c r="DF55" i="20"/>
  <c r="DG55" i="20"/>
  <c r="DH55" i="20"/>
  <c r="DI55" i="20"/>
  <c r="DJ55" i="20"/>
  <c r="DK55" i="20"/>
  <c r="DL55" i="20"/>
  <c r="DM55" i="20"/>
  <c r="DN55" i="20"/>
  <c r="DO55" i="20"/>
  <c r="DP55" i="20"/>
  <c r="DQ55" i="20"/>
  <c r="DR55" i="20"/>
  <c r="DS55" i="20"/>
  <c r="DT55" i="20"/>
  <c r="DU55" i="20"/>
  <c r="DV55" i="20"/>
  <c r="DW55" i="20"/>
  <c r="DX55" i="20"/>
  <c r="DY55" i="20"/>
  <c r="DZ55" i="20"/>
  <c r="EA55" i="20"/>
  <c r="EB55" i="20"/>
  <c r="EC55" i="20"/>
  <c r="ED55" i="20"/>
  <c r="EE55" i="20"/>
  <c r="EF55" i="20"/>
  <c r="EG55" i="20"/>
  <c r="EH55" i="20"/>
  <c r="EI55" i="20"/>
  <c r="EJ55" i="20"/>
  <c r="EK55" i="20"/>
  <c r="EL55" i="20"/>
  <c r="EM55" i="20"/>
  <c r="EN55" i="20"/>
  <c r="EO55" i="20"/>
  <c r="EP55" i="20"/>
  <c r="EQ55" i="20"/>
  <c r="ER55" i="20"/>
  <c r="ES55" i="20"/>
  <c r="ET55" i="20"/>
  <c r="EU55" i="20"/>
  <c r="EV55" i="20"/>
  <c r="EW55" i="20"/>
  <c r="EX55" i="20"/>
  <c r="EY55" i="20"/>
  <c r="EZ55" i="20"/>
  <c r="FA55" i="20"/>
  <c r="FB55" i="20"/>
  <c r="FC55" i="20"/>
  <c r="FD55" i="20"/>
  <c r="FE55" i="20"/>
  <c r="FF55" i="20"/>
  <c r="FG55" i="20"/>
  <c r="FH55" i="20"/>
  <c r="FI55" i="20"/>
  <c r="FJ55" i="20"/>
  <c r="FK55" i="20"/>
  <c r="FL55" i="20"/>
  <c r="FM55" i="20"/>
  <c r="FN55" i="20"/>
  <c r="FO55" i="20"/>
  <c r="FP55" i="20"/>
  <c r="FQ55" i="20"/>
  <c r="FR55" i="20"/>
  <c r="FS55" i="20"/>
  <c r="FT55" i="20"/>
  <c r="FU55" i="20"/>
  <c r="FV55" i="20"/>
  <c r="FW55" i="20"/>
  <c r="FX55" i="20"/>
  <c r="FY55" i="20"/>
  <c r="FZ55" i="20"/>
  <c r="GA55" i="20"/>
  <c r="GB55" i="20"/>
  <c r="GC55" i="20"/>
  <c r="GD55" i="20"/>
  <c r="GE55" i="20"/>
  <c r="GF55" i="20"/>
  <c r="GG55" i="20"/>
  <c r="GH55" i="20"/>
  <c r="GI55" i="20"/>
  <c r="GJ55" i="20"/>
  <c r="GK55" i="20"/>
  <c r="GL55" i="20"/>
  <c r="GM55" i="20"/>
  <c r="GN55" i="20"/>
  <c r="GO55" i="20"/>
  <c r="GP55" i="20"/>
  <c r="GQ55" i="20"/>
  <c r="GR55" i="20"/>
  <c r="GS55" i="20"/>
  <c r="GT55" i="20"/>
  <c r="GU55" i="20"/>
  <c r="GV55" i="20"/>
  <c r="GW55" i="20"/>
  <c r="GX55" i="20"/>
  <c r="GY55" i="20"/>
  <c r="GZ55" i="20"/>
  <c r="HA55" i="20"/>
  <c r="HB55" i="20"/>
  <c r="HC55" i="20"/>
  <c r="HD55" i="20"/>
  <c r="HE55" i="20"/>
  <c r="HF55" i="20"/>
  <c r="HG55" i="20"/>
  <c r="HH55" i="20"/>
  <c r="HI55" i="20"/>
  <c r="HJ55" i="20"/>
  <c r="HK55" i="20"/>
  <c r="HL55" i="20"/>
  <c r="HM55" i="20"/>
  <c r="HN55" i="20"/>
  <c r="HO55" i="20"/>
  <c r="HP55" i="20"/>
  <c r="HQ55" i="20"/>
  <c r="HR55" i="20"/>
  <c r="HS55" i="20"/>
  <c r="HT55" i="20"/>
  <c r="HU55" i="20"/>
  <c r="HV55" i="20"/>
  <c r="HW55" i="20"/>
  <c r="HX55" i="20"/>
  <c r="HY55" i="20"/>
  <c r="HZ55" i="20"/>
  <c r="IA55" i="20"/>
  <c r="IB55" i="20"/>
  <c r="IC55" i="20"/>
  <c r="ID55" i="20"/>
  <c r="IE55" i="20"/>
  <c r="IF55" i="20"/>
  <c r="IG55" i="20"/>
  <c r="IH55" i="20"/>
  <c r="II55" i="20"/>
  <c r="IJ55" i="20"/>
  <c r="IK55" i="20"/>
  <c r="IL55" i="20"/>
  <c r="IM55" i="20"/>
  <c r="IN55" i="20"/>
  <c r="IO55" i="20"/>
  <c r="IP55" i="20"/>
  <c r="IQ55" i="20"/>
  <c r="IR55" i="20"/>
  <c r="IS55" i="20"/>
  <c r="IT55" i="20"/>
  <c r="IU55" i="20"/>
  <c r="IV55" i="20"/>
  <c r="A54" i="20"/>
  <c r="B54" i="20"/>
  <c r="C54" i="20"/>
  <c r="D54" i="20"/>
  <c r="E54"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AK54" i="20"/>
  <c r="AL54" i="20"/>
  <c r="AM54" i="20"/>
  <c r="AN54" i="20"/>
  <c r="AO54" i="20"/>
  <c r="AP54" i="20"/>
  <c r="AQ54" i="20"/>
  <c r="AR54" i="20"/>
  <c r="AS54" i="20"/>
  <c r="AT54" i="20"/>
  <c r="AU54" i="20"/>
  <c r="AV54" i="20"/>
  <c r="AW54" i="20"/>
  <c r="AX54" i="20"/>
  <c r="AY54" i="20"/>
  <c r="AZ54" i="20"/>
  <c r="BA54" i="20"/>
  <c r="BB54" i="20"/>
  <c r="BC54" i="20"/>
  <c r="BD54" i="20"/>
  <c r="BE54" i="20"/>
  <c r="BF54" i="20"/>
  <c r="BG54" i="20"/>
  <c r="BH54" i="20"/>
  <c r="BI54" i="20"/>
  <c r="BJ54" i="20"/>
  <c r="BK54" i="20"/>
  <c r="BL54" i="20"/>
  <c r="BM54" i="20"/>
  <c r="BN54" i="20"/>
  <c r="BO54" i="20"/>
  <c r="BP54" i="20"/>
  <c r="BQ54" i="20"/>
  <c r="BR54" i="20"/>
  <c r="BS54" i="20"/>
  <c r="BT54" i="20"/>
  <c r="BU54" i="20"/>
  <c r="BV54" i="20"/>
  <c r="BW54" i="20"/>
  <c r="BX54" i="20"/>
  <c r="BY54" i="20"/>
  <c r="BZ54" i="20"/>
  <c r="CA54" i="20"/>
  <c r="CB54" i="20"/>
  <c r="CC54" i="20"/>
  <c r="CD54" i="20"/>
  <c r="CE54" i="20"/>
  <c r="CF54" i="20"/>
  <c r="CG54" i="20"/>
  <c r="CH54" i="20"/>
  <c r="CI54" i="20"/>
  <c r="CJ54" i="20"/>
  <c r="CK54" i="20"/>
  <c r="CL54" i="20"/>
  <c r="CM54" i="20"/>
  <c r="CN54" i="20"/>
  <c r="CO54" i="20"/>
  <c r="CP54" i="20"/>
  <c r="CQ54" i="20"/>
  <c r="CR54" i="20"/>
  <c r="CS54" i="20"/>
  <c r="CT54" i="20"/>
  <c r="CU54" i="20"/>
  <c r="CV54" i="20"/>
  <c r="CW54" i="20"/>
  <c r="CX54" i="20"/>
  <c r="CY54" i="20"/>
  <c r="CZ54" i="20"/>
  <c r="DA54" i="20"/>
  <c r="DB54" i="20"/>
  <c r="DC54" i="20"/>
  <c r="DD54" i="20"/>
  <c r="DE54" i="20"/>
  <c r="DF54" i="20"/>
  <c r="DG54" i="20"/>
  <c r="DH54" i="20"/>
  <c r="DI54" i="20"/>
  <c r="DJ54" i="20"/>
  <c r="DK54" i="20"/>
  <c r="DL54" i="20"/>
  <c r="DM54" i="20"/>
  <c r="DN54" i="20"/>
  <c r="DO54" i="20"/>
  <c r="DP54" i="20"/>
  <c r="DQ54" i="20"/>
  <c r="DR54" i="20"/>
  <c r="DS54" i="20"/>
  <c r="DT54" i="20"/>
  <c r="DU54" i="20"/>
  <c r="DV54" i="20"/>
  <c r="DW54" i="20"/>
  <c r="DX54" i="20"/>
  <c r="DY54" i="20"/>
  <c r="DZ54" i="20"/>
  <c r="EA54" i="20"/>
  <c r="EB54" i="20"/>
  <c r="EC54" i="20"/>
  <c r="ED54" i="20"/>
  <c r="EE54" i="20"/>
  <c r="EF54" i="20"/>
  <c r="EG54" i="20"/>
  <c r="EH54" i="20"/>
  <c r="EI54" i="20"/>
  <c r="EJ54" i="20"/>
  <c r="EK54" i="20"/>
  <c r="EL54" i="20"/>
  <c r="EM54" i="20"/>
  <c r="EN54" i="20"/>
  <c r="EO54" i="20"/>
  <c r="EP54" i="20"/>
  <c r="EQ54" i="20"/>
  <c r="ER54" i="20"/>
  <c r="ES54" i="20"/>
  <c r="ET54" i="20"/>
  <c r="EU54" i="20"/>
  <c r="EV54" i="20"/>
  <c r="EW54" i="20"/>
  <c r="EX54" i="20"/>
  <c r="EY54" i="20"/>
  <c r="EZ54" i="20"/>
  <c r="FA54" i="20"/>
  <c r="FB54" i="20"/>
  <c r="FC54" i="20"/>
  <c r="FD54" i="20"/>
  <c r="FE54" i="20"/>
  <c r="FF54" i="20"/>
  <c r="FG54" i="20"/>
  <c r="FH54" i="20"/>
  <c r="FI54" i="20"/>
  <c r="FJ54" i="20"/>
  <c r="FK54" i="20"/>
  <c r="FL54" i="20"/>
  <c r="FM54" i="20"/>
  <c r="FN54" i="20"/>
  <c r="FO54" i="20"/>
  <c r="FP54" i="20"/>
  <c r="FQ54" i="20"/>
  <c r="FR54" i="20"/>
  <c r="FS54" i="20"/>
  <c r="FT54" i="20"/>
  <c r="FU54" i="20"/>
  <c r="FV54" i="20"/>
  <c r="FW54" i="20"/>
  <c r="FX54" i="20"/>
  <c r="FY54" i="20"/>
  <c r="FZ54" i="20"/>
  <c r="GA54" i="20"/>
  <c r="GB54" i="20"/>
  <c r="GC54" i="20"/>
  <c r="GD54" i="20"/>
  <c r="GE54" i="20"/>
  <c r="GF54" i="20"/>
  <c r="GG54" i="20"/>
  <c r="GH54" i="20"/>
  <c r="GI54" i="20"/>
  <c r="GJ54" i="20"/>
  <c r="GK54" i="20"/>
  <c r="GL54" i="20"/>
  <c r="GM54" i="20"/>
  <c r="GN54" i="20"/>
  <c r="GO54" i="20"/>
  <c r="GP54" i="20"/>
  <c r="GQ54" i="20"/>
  <c r="GR54" i="20"/>
  <c r="GS54" i="20"/>
  <c r="GT54" i="20"/>
  <c r="GU54" i="20"/>
  <c r="GV54" i="20"/>
  <c r="GW54" i="20"/>
  <c r="GX54" i="20"/>
  <c r="GY54" i="20"/>
  <c r="GZ54" i="20"/>
  <c r="HA54" i="20"/>
  <c r="HB54" i="20"/>
  <c r="HC54" i="20"/>
  <c r="HD54" i="20"/>
  <c r="HE54" i="20"/>
  <c r="HF54" i="20"/>
  <c r="HG54" i="20"/>
  <c r="HH54" i="20"/>
  <c r="HI54" i="20"/>
  <c r="HJ54" i="20"/>
  <c r="HK54" i="20"/>
  <c r="HL54" i="20"/>
  <c r="HM54" i="20"/>
  <c r="HN54" i="20"/>
  <c r="HO54" i="20"/>
  <c r="HP54" i="20"/>
  <c r="HQ54" i="20"/>
  <c r="HR54" i="20"/>
  <c r="HS54" i="20"/>
  <c r="HT54" i="20"/>
  <c r="HU54" i="20"/>
  <c r="HV54" i="20"/>
  <c r="HW54" i="20"/>
  <c r="HX54" i="20"/>
  <c r="HY54" i="20"/>
  <c r="HZ54" i="20"/>
  <c r="IA54" i="20"/>
  <c r="IB54" i="20"/>
  <c r="IC54" i="20"/>
  <c r="ID54" i="20"/>
  <c r="IE54" i="20"/>
  <c r="IF54" i="20"/>
  <c r="IG54" i="20"/>
  <c r="IH54" i="20"/>
  <c r="II54" i="20"/>
  <c r="IJ54" i="20"/>
  <c r="IK54" i="20"/>
  <c r="IL54" i="20"/>
  <c r="IM54" i="20"/>
  <c r="IN54" i="20"/>
  <c r="IO54" i="20"/>
  <c r="IP54" i="20"/>
  <c r="IQ54" i="20"/>
  <c r="IR54" i="20"/>
  <c r="IS54" i="20"/>
  <c r="IT54" i="20"/>
  <c r="IU54" i="20"/>
  <c r="IV54" i="20"/>
  <c r="A53" i="20"/>
  <c r="B53" i="20"/>
  <c r="C53" i="20"/>
  <c r="D53" i="20"/>
  <c r="E53"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AK53" i="20"/>
  <c r="AL53" i="20"/>
  <c r="AM53" i="20"/>
  <c r="AN53" i="20"/>
  <c r="AO53" i="20"/>
  <c r="AP53" i="20"/>
  <c r="AQ53" i="20"/>
  <c r="AR53" i="20"/>
  <c r="AS53" i="20"/>
  <c r="AT53" i="20"/>
  <c r="AU53" i="20"/>
  <c r="AV53" i="20"/>
  <c r="AW53" i="20"/>
  <c r="AX53" i="20"/>
  <c r="AY53" i="20"/>
  <c r="AZ53" i="20"/>
  <c r="BA53" i="20"/>
  <c r="BB53" i="20"/>
  <c r="BC53" i="20"/>
  <c r="BD53" i="20"/>
  <c r="BE53" i="20"/>
  <c r="BF53" i="20"/>
  <c r="BG53" i="20"/>
  <c r="BH53" i="20"/>
  <c r="BI53" i="20"/>
  <c r="BJ53" i="20"/>
  <c r="BK53" i="20"/>
  <c r="BL53" i="20"/>
  <c r="BM53" i="20"/>
  <c r="BN53" i="20"/>
  <c r="BO53" i="20"/>
  <c r="BP53" i="20"/>
  <c r="BQ53" i="20"/>
  <c r="BR53" i="20"/>
  <c r="BS53" i="20"/>
  <c r="BT53" i="20"/>
  <c r="BU53" i="20"/>
  <c r="BV53" i="20"/>
  <c r="BW53" i="20"/>
  <c r="BX53" i="20"/>
  <c r="BY53" i="20"/>
  <c r="BZ53" i="20"/>
  <c r="CA53" i="20"/>
  <c r="CB53" i="20"/>
  <c r="CC53" i="20"/>
  <c r="CD53" i="20"/>
  <c r="CE53" i="20"/>
  <c r="CF53" i="20"/>
  <c r="CG53" i="20"/>
  <c r="CH53" i="20"/>
  <c r="CI53" i="20"/>
  <c r="CJ53" i="20"/>
  <c r="CK53" i="20"/>
  <c r="CL53" i="20"/>
  <c r="CM53" i="20"/>
  <c r="CN53" i="20"/>
  <c r="CO53" i="20"/>
  <c r="CP53" i="20"/>
  <c r="CQ53" i="20"/>
  <c r="CR53" i="20"/>
  <c r="CS53" i="20"/>
  <c r="CT53" i="20"/>
  <c r="CU53" i="20"/>
  <c r="CV53" i="20"/>
  <c r="CW53" i="20"/>
  <c r="CX53" i="20"/>
  <c r="CY53" i="20"/>
  <c r="CZ53" i="20"/>
  <c r="DA53" i="20"/>
  <c r="DB53" i="20"/>
  <c r="DC53" i="20"/>
  <c r="DD53" i="20"/>
  <c r="DE53" i="20"/>
  <c r="DF53" i="20"/>
  <c r="DG53" i="20"/>
  <c r="DH53" i="20"/>
  <c r="DI53" i="20"/>
  <c r="DJ53" i="20"/>
  <c r="DK53" i="20"/>
  <c r="DL53" i="20"/>
  <c r="DM53" i="20"/>
  <c r="DN53" i="20"/>
  <c r="DO53" i="20"/>
  <c r="DP53" i="20"/>
  <c r="DQ53" i="20"/>
  <c r="DR53" i="20"/>
  <c r="DS53" i="20"/>
  <c r="DT53" i="20"/>
  <c r="DU53" i="20"/>
  <c r="DV53" i="20"/>
  <c r="DW53" i="20"/>
  <c r="DX53" i="20"/>
  <c r="DY53" i="20"/>
  <c r="DZ53" i="20"/>
  <c r="EA53" i="20"/>
  <c r="EB53" i="20"/>
  <c r="EC53" i="20"/>
  <c r="ED53" i="20"/>
  <c r="EE53" i="20"/>
  <c r="EF53" i="20"/>
  <c r="EG53" i="20"/>
  <c r="EH53" i="20"/>
  <c r="EI53" i="20"/>
  <c r="EJ53" i="20"/>
  <c r="EK53" i="20"/>
  <c r="EL53" i="20"/>
  <c r="EM53" i="20"/>
  <c r="EN53" i="20"/>
  <c r="EO53" i="20"/>
  <c r="EP53" i="20"/>
  <c r="EQ53" i="20"/>
  <c r="ER53" i="20"/>
  <c r="ES53" i="20"/>
  <c r="ET53" i="20"/>
  <c r="EU53" i="20"/>
  <c r="EV53" i="20"/>
  <c r="EW53" i="20"/>
  <c r="EX53" i="20"/>
  <c r="EY53" i="20"/>
  <c r="EZ53" i="20"/>
  <c r="FA53" i="20"/>
  <c r="FB53" i="20"/>
  <c r="FC53" i="20"/>
  <c r="FD53" i="20"/>
  <c r="FE53" i="20"/>
  <c r="FF53" i="20"/>
  <c r="FG53" i="20"/>
  <c r="FH53" i="20"/>
  <c r="FI53" i="20"/>
  <c r="FJ53" i="20"/>
  <c r="FK53" i="20"/>
  <c r="FL53" i="20"/>
  <c r="FM53" i="20"/>
  <c r="FN53" i="20"/>
  <c r="FO53" i="20"/>
  <c r="FP53" i="20"/>
  <c r="FQ53" i="20"/>
  <c r="FR53" i="20"/>
  <c r="FS53" i="20"/>
  <c r="FT53" i="20"/>
  <c r="FU53" i="20"/>
  <c r="FV53" i="20"/>
  <c r="FW53" i="20"/>
  <c r="FX53" i="20"/>
  <c r="FY53" i="20"/>
  <c r="FZ53" i="20"/>
  <c r="GA53" i="20"/>
  <c r="GB53" i="20"/>
  <c r="GC53" i="20"/>
  <c r="GD53" i="20"/>
  <c r="GE53" i="20"/>
  <c r="GF53" i="20"/>
  <c r="GG53" i="20"/>
  <c r="GH53" i="20"/>
  <c r="GI53" i="20"/>
  <c r="GJ53" i="20"/>
  <c r="GK53" i="20"/>
  <c r="GL53" i="20"/>
  <c r="GM53" i="20"/>
  <c r="GN53" i="20"/>
  <c r="GO53" i="20"/>
  <c r="GP53" i="20"/>
  <c r="GQ53" i="20"/>
  <c r="GR53" i="20"/>
  <c r="GS53" i="20"/>
  <c r="GT53" i="20"/>
  <c r="GU53" i="20"/>
  <c r="GV53" i="20"/>
  <c r="GW53" i="20"/>
  <c r="GX53" i="20"/>
  <c r="GY53" i="20"/>
  <c r="GZ53" i="20"/>
  <c r="HA53" i="20"/>
  <c r="HB53" i="20"/>
  <c r="HC53" i="20"/>
  <c r="HD53" i="20"/>
  <c r="HE53" i="20"/>
  <c r="HF53" i="20"/>
  <c r="HG53" i="20"/>
  <c r="HH53" i="20"/>
  <c r="HI53" i="20"/>
  <c r="HJ53" i="20"/>
  <c r="HK53" i="20"/>
  <c r="HL53" i="20"/>
  <c r="HM53" i="20"/>
  <c r="HN53" i="20"/>
  <c r="HO53" i="20"/>
  <c r="HP53" i="20"/>
  <c r="HQ53" i="20"/>
  <c r="HR53" i="20"/>
  <c r="HS53" i="20"/>
  <c r="HT53" i="20"/>
  <c r="HU53" i="20"/>
  <c r="HV53" i="20"/>
  <c r="HW53" i="20"/>
  <c r="HX53" i="20"/>
  <c r="HY53" i="20"/>
  <c r="HZ53" i="20"/>
  <c r="IA53" i="20"/>
  <c r="IB53" i="20"/>
  <c r="IC53" i="20"/>
  <c r="ID53" i="20"/>
  <c r="IE53" i="20"/>
  <c r="IF53" i="20"/>
  <c r="IG53" i="20"/>
  <c r="IH53" i="20"/>
  <c r="II53" i="20"/>
  <c r="IJ53" i="20"/>
  <c r="IK53" i="20"/>
  <c r="IL53" i="20"/>
  <c r="IM53" i="20"/>
  <c r="IN53" i="20"/>
  <c r="IO53" i="20"/>
  <c r="IP53" i="20"/>
  <c r="IQ53" i="20"/>
  <c r="IR53" i="20"/>
  <c r="IS53" i="20"/>
  <c r="IT53" i="20"/>
  <c r="IU53" i="20"/>
  <c r="IV53" i="20"/>
  <c r="A52" i="20"/>
  <c r="B52" i="20"/>
  <c r="C52" i="20"/>
  <c r="D52" i="20"/>
  <c r="E52"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G52" i="20"/>
  <c r="AH52" i="20"/>
  <c r="AI52" i="20"/>
  <c r="AJ52" i="20"/>
  <c r="AK52" i="20"/>
  <c r="AL52" i="20"/>
  <c r="AM52" i="20"/>
  <c r="AN52" i="20"/>
  <c r="AO52" i="20"/>
  <c r="AP52" i="20"/>
  <c r="AQ52" i="20"/>
  <c r="AR52" i="20"/>
  <c r="AS52" i="20"/>
  <c r="AT52" i="20"/>
  <c r="AU52" i="20"/>
  <c r="AV52" i="20"/>
  <c r="AW52" i="20"/>
  <c r="AX52" i="20"/>
  <c r="AY52" i="20"/>
  <c r="AZ52" i="20"/>
  <c r="BA52" i="20"/>
  <c r="BB52" i="20"/>
  <c r="BC52" i="20"/>
  <c r="BD52" i="20"/>
  <c r="BE52" i="20"/>
  <c r="BF52" i="20"/>
  <c r="BG52" i="20"/>
  <c r="BH52" i="20"/>
  <c r="BI52" i="20"/>
  <c r="BJ52" i="20"/>
  <c r="BK52" i="20"/>
  <c r="BL52" i="20"/>
  <c r="BM52" i="20"/>
  <c r="BN52" i="20"/>
  <c r="BO52" i="20"/>
  <c r="BP52" i="20"/>
  <c r="BQ52" i="20"/>
  <c r="BR52" i="20"/>
  <c r="BS52" i="20"/>
  <c r="BT52" i="20"/>
  <c r="BU52" i="20"/>
  <c r="BV52" i="20"/>
  <c r="BW52" i="20"/>
  <c r="BX52" i="20"/>
  <c r="BY52" i="20"/>
  <c r="BZ52" i="20"/>
  <c r="CA52" i="20"/>
  <c r="CB52" i="20"/>
  <c r="CC52" i="20"/>
  <c r="CD52" i="20"/>
  <c r="CE52" i="20"/>
  <c r="CF52" i="20"/>
  <c r="CG52" i="20"/>
  <c r="CH52" i="20"/>
  <c r="CI52" i="20"/>
  <c r="CJ52" i="20"/>
  <c r="CK52" i="20"/>
  <c r="CL52" i="20"/>
  <c r="CM52" i="20"/>
  <c r="CN52" i="20"/>
  <c r="CO52" i="20"/>
  <c r="CP52" i="20"/>
  <c r="CQ52" i="20"/>
  <c r="CR52" i="20"/>
  <c r="CS52" i="20"/>
  <c r="CT52" i="20"/>
  <c r="CU52" i="20"/>
  <c r="CV52" i="20"/>
  <c r="CW52" i="20"/>
  <c r="CX52" i="20"/>
  <c r="CY52" i="20"/>
  <c r="CZ52" i="20"/>
  <c r="DA52" i="20"/>
  <c r="DB52" i="20"/>
  <c r="DC52" i="20"/>
  <c r="DD52" i="20"/>
  <c r="DE52" i="20"/>
  <c r="DF52" i="20"/>
  <c r="DG52" i="20"/>
  <c r="DH52" i="20"/>
  <c r="DI52" i="20"/>
  <c r="DJ52" i="20"/>
  <c r="DK52" i="20"/>
  <c r="DL52" i="20"/>
  <c r="DM52" i="20"/>
  <c r="DN52" i="20"/>
  <c r="DO52" i="20"/>
  <c r="DP52" i="20"/>
  <c r="DQ52" i="20"/>
  <c r="DR52" i="20"/>
  <c r="DS52" i="20"/>
  <c r="DT52" i="20"/>
  <c r="DU52" i="20"/>
  <c r="DV52" i="20"/>
  <c r="DW52" i="20"/>
  <c r="DX52" i="20"/>
  <c r="DY52" i="20"/>
  <c r="DZ52" i="20"/>
  <c r="EA52" i="20"/>
  <c r="EB52" i="20"/>
  <c r="EC52" i="20"/>
  <c r="ED52" i="20"/>
  <c r="EE52" i="20"/>
  <c r="EF52" i="20"/>
  <c r="EG52" i="20"/>
  <c r="EH52" i="20"/>
  <c r="EI52" i="20"/>
  <c r="EJ52" i="20"/>
  <c r="EK52" i="20"/>
  <c r="EL52" i="20"/>
  <c r="EM52" i="20"/>
  <c r="EN52" i="20"/>
  <c r="EO52" i="20"/>
  <c r="EP52" i="20"/>
  <c r="EQ52" i="20"/>
  <c r="ER52" i="20"/>
  <c r="ES52" i="20"/>
  <c r="ET52" i="20"/>
  <c r="EU52" i="20"/>
  <c r="EV52" i="20"/>
  <c r="EW52" i="20"/>
  <c r="EX52" i="20"/>
  <c r="EY52" i="20"/>
  <c r="EZ52" i="20"/>
  <c r="FA52" i="20"/>
  <c r="FB52" i="20"/>
  <c r="FC52" i="20"/>
  <c r="FD52" i="20"/>
  <c r="FE52" i="20"/>
  <c r="FF52" i="20"/>
  <c r="FG52" i="20"/>
  <c r="FH52" i="20"/>
  <c r="FI52" i="20"/>
  <c r="FJ52" i="20"/>
  <c r="FK52" i="20"/>
  <c r="FL52" i="20"/>
  <c r="FM52" i="20"/>
  <c r="FN52" i="20"/>
  <c r="FO52" i="20"/>
  <c r="FP52" i="20"/>
  <c r="FQ52" i="20"/>
  <c r="FR52" i="20"/>
  <c r="FS52" i="20"/>
  <c r="FT52" i="20"/>
  <c r="FU52" i="20"/>
  <c r="FV52" i="20"/>
  <c r="FW52" i="20"/>
  <c r="FX52" i="20"/>
  <c r="FY52" i="20"/>
  <c r="FZ52" i="20"/>
  <c r="GA52" i="20"/>
  <c r="GB52" i="20"/>
  <c r="GC52" i="20"/>
  <c r="GD52" i="20"/>
  <c r="GE52" i="20"/>
  <c r="GF52" i="20"/>
  <c r="GG52" i="20"/>
  <c r="GH52" i="20"/>
  <c r="GI52" i="20"/>
  <c r="GJ52" i="20"/>
  <c r="GK52" i="20"/>
  <c r="GL52" i="20"/>
  <c r="GM52" i="20"/>
  <c r="GN52" i="20"/>
  <c r="GO52" i="20"/>
  <c r="GP52" i="20"/>
  <c r="GQ52" i="20"/>
  <c r="GR52" i="20"/>
  <c r="GS52" i="20"/>
  <c r="GT52" i="20"/>
  <c r="GU52" i="20"/>
  <c r="GV52" i="20"/>
  <c r="GW52" i="20"/>
  <c r="GX52" i="20"/>
  <c r="GY52" i="20"/>
  <c r="GZ52" i="20"/>
  <c r="HA52" i="20"/>
  <c r="HB52" i="20"/>
  <c r="HC52" i="20"/>
  <c r="HD52" i="20"/>
  <c r="HE52" i="20"/>
  <c r="HF52" i="20"/>
  <c r="HG52" i="20"/>
  <c r="HH52" i="20"/>
  <c r="HI52" i="20"/>
  <c r="HJ52" i="20"/>
  <c r="HK52" i="20"/>
  <c r="HL52" i="20"/>
  <c r="HM52" i="20"/>
  <c r="HN52" i="20"/>
  <c r="HO52" i="20"/>
  <c r="HP52" i="20"/>
  <c r="HQ52" i="20"/>
  <c r="HR52" i="20"/>
  <c r="HS52" i="20"/>
  <c r="HT52" i="20"/>
  <c r="HU52" i="20"/>
  <c r="HV52" i="20"/>
  <c r="HW52" i="20"/>
  <c r="HX52" i="20"/>
  <c r="HY52" i="20"/>
  <c r="HZ52" i="20"/>
  <c r="IA52" i="20"/>
  <c r="IB52" i="20"/>
  <c r="IC52" i="20"/>
  <c r="ID52" i="20"/>
  <c r="IE52" i="20"/>
  <c r="IF52" i="20"/>
  <c r="IG52" i="20"/>
  <c r="IH52" i="20"/>
  <c r="II52" i="20"/>
  <c r="IJ52" i="20"/>
  <c r="IK52" i="20"/>
  <c r="IL52" i="20"/>
  <c r="IM52" i="20"/>
  <c r="IN52" i="20"/>
  <c r="IO52" i="20"/>
  <c r="IP52" i="20"/>
  <c r="IQ52" i="20"/>
  <c r="IR52" i="20"/>
  <c r="IS52" i="20"/>
  <c r="IT52" i="20"/>
  <c r="IU52" i="20"/>
  <c r="IV52" i="20"/>
  <c r="A51" i="20"/>
  <c r="B51" i="20"/>
  <c r="C51" i="20"/>
  <c r="D51" i="20"/>
  <c r="E51"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G51" i="20"/>
  <c r="AH51" i="20"/>
  <c r="AI51" i="20"/>
  <c r="AJ51" i="20"/>
  <c r="AK51" i="20"/>
  <c r="AL51" i="20"/>
  <c r="AM51" i="20"/>
  <c r="AN51" i="20"/>
  <c r="AO51" i="20"/>
  <c r="AP51" i="20"/>
  <c r="AQ51" i="20"/>
  <c r="AR51" i="20"/>
  <c r="AS51" i="20"/>
  <c r="AT51" i="20"/>
  <c r="AU51" i="20"/>
  <c r="AV51" i="20"/>
  <c r="AW51" i="20"/>
  <c r="AX51" i="20"/>
  <c r="AY51" i="20"/>
  <c r="AZ51" i="20"/>
  <c r="BA51" i="20"/>
  <c r="BB51" i="20"/>
  <c r="BC51" i="20"/>
  <c r="BD51" i="20"/>
  <c r="BE51" i="20"/>
  <c r="BF51" i="20"/>
  <c r="BG51" i="20"/>
  <c r="BH51" i="20"/>
  <c r="BI51" i="20"/>
  <c r="BJ51" i="20"/>
  <c r="BK51" i="20"/>
  <c r="BL51" i="20"/>
  <c r="BM51" i="20"/>
  <c r="BN51" i="20"/>
  <c r="BO51" i="20"/>
  <c r="BP51" i="20"/>
  <c r="BQ51" i="20"/>
  <c r="BR51" i="20"/>
  <c r="BS51" i="20"/>
  <c r="BT51" i="20"/>
  <c r="BU51" i="20"/>
  <c r="BV51" i="20"/>
  <c r="BW51" i="20"/>
  <c r="BX51" i="20"/>
  <c r="BY51" i="20"/>
  <c r="BZ51" i="20"/>
  <c r="CA51" i="20"/>
  <c r="CB51" i="20"/>
  <c r="CC51" i="20"/>
  <c r="CD51" i="20"/>
  <c r="CE51" i="20"/>
  <c r="CF51" i="20"/>
  <c r="CG51" i="20"/>
  <c r="CH51" i="20"/>
  <c r="CI51" i="20"/>
  <c r="CJ51" i="20"/>
  <c r="CK51" i="20"/>
  <c r="CL51" i="20"/>
  <c r="CM51" i="20"/>
  <c r="CN51" i="20"/>
  <c r="CO51" i="20"/>
  <c r="CP51" i="20"/>
  <c r="CQ51" i="20"/>
  <c r="CR51" i="20"/>
  <c r="CS51" i="20"/>
  <c r="CT51" i="20"/>
  <c r="CU51" i="20"/>
  <c r="CV51" i="20"/>
  <c r="CW51" i="20"/>
  <c r="CX51" i="20"/>
  <c r="CY51" i="20"/>
  <c r="CZ51" i="20"/>
  <c r="DA51" i="20"/>
  <c r="DB51" i="20"/>
  <c r="DC51" i="20"/>
  <c r="DD51" i="20"/>
  <c r="DE51" i="20"/>
  <c r="DF51" i="20"/>
  <c r="DG51" i="20"/>
  <c r="DH51" i="20"/>
  <c r="DI51" i="20"/>
  <c r="DJ51" i="20"/>
  <c r="DK51" i="20"/>
  <c r="DL51" i="20"/>
  <c r="DM51" i="20"/>
  <c r="DN51" i="20"/>
  <c r="DO51" i="20"/>
  <c r="DP51" i="20"/>
  <c r="DQ51" i="20"/>
  <c r="DR51" i="20"/>
  <c r="DS51" i="20"/>
  <c r="DT51" i="20"/>
  <c r="DU51" i="20"/>
  <c r="DV51" i="20"/>
  <c r="DW51" i="20"/>
  <c r="DX51" i="20"/>
  <c r="DY51" i="20"/>
  <c r="DZ51" i="20"/>
  <c r="EA51" i="20"/>
  <c r="EB51" i="20"/>
  <c r="EC51" i="20"/>
  <c r="ED51" i="20"/>
  <c r="EE51" i="20"/>
  <c r="EF51" i="20"/>
  <c r="EG51" i="20"/>
  <c r="EH51" i="20"/>
  <c r="EI51" i="20"/>
  <c r="EJ51" i="20"/>
  <c r="EK51" i="20"/>
  <c r="EL51" i="20"/>
  <c r="EM51" i="20"/>
  <c r="EN51" i="20"/>
  <c r="EO51" i="20"/>
  <c r="EP51" i="20"/>
  <c r="EQ51" i="20"/>
  <c r="ER51" i="20"/>
  <c r="ES51" i="20"/>
  <c r="ET51" i="20"/>
  <c r="EU51" i="20"/>
  <c r="EV51" i="20"/>
  <c r="EW51" i="20"/>
  <c r="EX51" i="20"/>
  <c r="EY51" i="20"/>
  <c r="EZ51" i="20"/>
  <c r="FA51" i="20"/>
  <c r="FB51" i="20"/>
  <c r="FC51" i="20"/>
  <c r="FD51" i="20"/>
  <c r="FE51" i="20"/>
  <c r="FF51" i="20"/>
  <c r="FG51" i="20"/>
  <c r="FH51" i="20"/>
  <c r="FI51" i="20"/>
  <c r="FJ51" i="20"/>
  <c r="FK51" i="20"/>
  <c r="FL51" i="20"/>
  <c r="FM51" i="20"/>
  <c r="FN51" i="20"/>
  <c r="FO51" i="20"/>
  <c r="FP51" i="20"/>
  <c r="FQ51" i="20"/>
  <c r="FR51" i="20"/>
  <c r="FS51" i="20"/>
  <c r="FT51" i="20"/>
  <c r="FU51" i="20"/>
  <c r="FV51" i="20"/>
  <c r="FW51" i="20"/>
  <c r="FX51" i="20"/>
  <c r="FY51" i="20"/>
  <c r="FZ51" i="20"/>
  <c r="GA51" i="20"/>
  <c r="GB51" i="20"/>
  <c r="GC51" i="20"/>
  <c r="GD51" i="20"/>
  <c r="GE51" i="20"/>
  <c r="GF51" i="20"/>
  <c r="GG51" i="20"/>
  <c r="GH51" i="20"/>
  <c r="GI51" i="20"/>
  <c r="GJ51" i="20"/>
  <c r="GK51" i="20"/>
  <c r="GL51" i="20"/>
  <c r="GM51" i="20"/>
  <c r="GN51" i="20"/>
  <c r="GO51" i="20"/>
  <c r="GP51" i="20"/>
  <c r="GQ51" i="20"/>
  <c r="GR51" i="20"/>
  <c r="GS51" i="20"/>
  <c r="GT51" i="20"/>
  <c r="GU51" i="20"/>
  <c r="GV51" i="20"/>
  <c r="GW51" i="20"/>
  <c r="GX51" i="20"/>
  <c r="GY51" i="20"/>
  <c r="GZ51" i="20"/>
  <c r="HA51" i="20"/>
  <c r="HB51" i="20"/>
  <c r="HC51" i="20"/>
  <c r="HD51" i="20"/>
  <c r="HE51" i="20"/>
  <c r="HF51" i="20"/>
  <c r="HG51" i="20"/>
  <c r="HH51" i="20"/>
  <c r="HI51" i="20"/>
  <c r="HJ51" i="20"/>
  <c r="HK51" i="20"/>
  <c r="HL51" i="20"/>
  <c r="HM51" i="20"/>
  <c r="HN51" i="20"/>
  <c r="HO51" i="20"/>
  <c r="HP51" i="20"/>
  <c r="HQ51" i="20"/>
  <c r="HR51" i="20"/>
  <c r="HS51" i="20"/>
  <c r="HT51" i="20"/>
  <c r="HU51" i="20"/>
  <c r="HV51" i="20"/>
  <c r="HW51" i="20"/>
  <c r="HX51" i="20"/>
  <c r="HY51" i="20"/>
  <c r="HZ51" i="20"/>
  <c r="IA51" i="20"/>
  <c r="IB51" i="20"/>
  <c r="IC51" i="20"/>
  <c r="ID51" i="20"/>
  <c r="IE51" i="20"/>
  <c r="IF51" i="20"/>
  <c r="IG51" i="20"/>
  <c r="IH51" i="20"/>
  <c r="II51" i="20"/>
  <c r="IJ51" i="20"/>
  <c r="IK51" i="20"/>
  <c r="IL51" i="20"/>
  <c r="IM51" i="20"/>
  <c r="IN51" i="20"/>
  <c r="IO51" i="20"/>
  <c r="IP51" i="20"/>
  <c r="IQ51" i="20"/>
  <c r="IR51" i="20"/>
  <c r="IS51" i="20"/>
  <c r="IT51" i="20"/>
  <c r="IU51" i="20"/>
  <c r="IV51" i="20"/>
  <c r="A50" i="20"/>
  <c r="B50" i="20"/>
  <c r="C50" i="20"/>
  <c r="D50" i="20"/>
  <c r="E50"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G50" i="20"/>
  <c r="AH50" i="20"/>
  <c r="AI50" i="20"/>
  <c r="AJ50" i="20"/>
  <c r="AK50" i="20"/>
  <c r="AL50" i="20"/>
  <c r="AM50" i="20"/>
  <c r="AN50" i="20"/>
  <c r="AO50" i="20"/>
  <c r="AP50" i="20"/>
  <c r="AQ50" i="20"/>
  <c r="AR50" i="20"/>
  <c r="AS50" i="20"/>
  <c r="AT50" i="20"/>
  <c r="AU50" i="20"/>
  <c r="AV50" i="20"/>
  <c r="AW50" i="20"/>
  <c r="AX50" i="20"/>
  <c r="AY50" i="20"/>
  <c r="AZ50" i="20"/>
  <c r="BA50" i="20"/>
  <c r="BB50" i="20"/>
  <c r="BC50" i="20"/>
  <c r="BD50" i="20"/>
  <c r="BE50" i="20"/>
  <c r="BF50" i="20"/>
  <c r="BG50" i="20"/>
  <c r="BH50" i="20"/>
  <c r="BI50" i="20"/>
  <c r="BJ50" i="20"/>
  <c r="BK50" i="20"/>
  <c r="BL50" i="20"/>
  <c r="BM50" i="20"/>
  <c r="BN50" i="20"/>
  <c r="BO50" i="20"/>
  <c r="BP50" i="20"/>
  <c r="BQ50" i="20"/>
  <c r="BR50" i="20"/>
  <c r="BS50" i="20"/>
  <c r="BT50" i="20"/>
  <c r="BU50" i="20"/>
  <c r="BV50" i="20"/>
  <c r="BW50" i="20"/>
  <c r="BX50" i="20"/>
  <c r="BY50" i="20"/>
  <c r="BZ50" i="20"/>
  <c r="CA50" i="20"/>
  <c r="CB50" i="20"/>
  <c r="CC50" i="20"/>
  <c r="CD50" i="20"/>
  <c r="CE50" i="20"/>
  <c r="CF50" i="20"/>
  <c r="CG50" i="20"/>
  <c r="CH50" i="20"/>
  <c r="CI50" i="20"/>
  <c r="CJ50" i="20"/>
  <c r="CK50" i="20"/>
  <c r="CL50" i="20"/>
  <c r="CM50" i="20"/>
  <c r="CN50" i="20"/>
  <c r="CO50" i="20"/>
  <c r="CP50" i="20"/>
  <c r="CQ50" i="20"/>
  <c r="CR50" i="20"/>
  <c r="CS50" i="20"/>
  <c r="CT50" i="20"/>
  <c r="CU50" i="20"/>
  <c r="CV50" i="20"/>
  <c r="CW50" i="20"/>
  <c r="CX50" i="20"/>
  <c r="CY50" i="20"/>
  <c r="CZ50" i="20"/>
  <c r="DA50" i="20"/>
  <c r="DB50" i="20"/>
  <c r="DC50" i="20"/>
  <c r="DD50" i="20"/>
  <c r="DE50" i="20"/>
  <c r="DF50" i="20"/>
  <c r="DG50" i="20"/>
  <c r="DH50" i="20"/>
  <c r="DI50" i="20"/>
  <c r="DJ50" i="20"/>
  <c r="DK50" i="20"/>
  <c r="DL50" i="20"/>
  <c r="DM50" i="20"/>
  <c r="DN50" i="20"/>
  <c r="DO50" i="20"/>
  <c r="DP50" i="20"/>
  <c r="DQ50" i="20"/>
  <c r="DR50" i="20"/>
  <c r="DS50" i="20"/>
  <c r="DT50" i="20"/>
  <c r="DU50" i="20"/>
  <c r="DV50" i="20"/>
  <c r="DW50" i="20"/>
  <c r="DX50" i="20"/>
  <c r="DY50" i="20"/>
  <c r="DZ50" i="20"/>
  <c r="EA50" i="20"/>
  <c r="EB50" i="20"/>
  <c r="EC50" i="20"/>
  <c r="ED50" i="20"/>
  <c r="EE50" i="20"/>
  <c r="EF50" i="20"/>
  <c r="EG50" i="20"/>
  <c r="EH50" i="20"/>
  <c r="EI50" i="20"/>
  <c r="EJ50" i="20"/>
  <c r="EK50" i="20"/>
  <c r="EL50" i="20"/>
  <c r="EM50" i="20"/>
  <c r="EN50" i="20"/>
  <c r="EO50" i="20"/>
  <c r="EP50" i="20"/>
  <c r="EQ50" i="20"/>
  <c r="ER50" i="20"/>
  <c r="ES50" i="20"/>
  <c r="ET50" i="20"/>
  <c r="EU50" i="20"/>
  <c r="EV50" i="20"/>
  <c r="EW50" i="20"/>
  <c r="EX50" i="20"/>
  <c r="EY50" i="20"/>
  <c r="EZ50" i="20"/>
  <c r="FA50" i="20"/>
  <c r="FB50" i="20"/>
  <c r="FC50" i="20"/>
  <c r="FD50" i="20"/>
  <c r="FE50" i="20"/>
  <c r="FF50" i="20"/>
  <c r="FG50" i="20"/>
  <c r="FH50" i="20"/>
  <c r="FI50" i="20"/>
  <c r="FJ50" i="20"/>
  <c r="FK50" i="20"/>
  <c r="FL50" i="20"/>
  <c r="FM50" i="20"/>
  <c r="FN50" i="20"/>
  <c r="FO50" i="20"/>
  <c r="FP50" i="20"/>
  <c r="FQ50" i="20"/>
  <c r="FR50" i="20"/>
  <c r="FS50" i="20"/>
  <c r="FT50" i="20"/>
  <c r="FU50" i="20"/>
  <c r="FV50" i="20"/>
  <c r="FW50" i="20"/>
  <c r="FX50" i="20"/>
  <c r="FY50" i="20"/>
  <c r="FZ50" i="20"/>
  <c r="GA50" i="20"/>
  <c r="GB50" i="20"/>
  <c r="GC50" i="20"/>
  <c r="GD50" i="20"/>
  <c r="GE50" i="20"/>
  <c r="GF50" i="20"/>
  <c r="GG50" i="20"/>
  <c r="GH50" i="20"/>
  <c r="GI50" i="20"/>
  <c r="GJ50" i="20"/>
  <c r="GK50" i="20"/>
  <c r="GL50" i="20"/>
  <c r="GM50" i="20"/>
  <c r="GN50" i="20"/>
  <c r="GO50" i="20"/>
  <c r="GP50" i="20"/>
  <c r="GQ50" i="20"/>
  <c r="GR50" i="20"/>
  <c r="GS50" i="20"/>
  <c r="GT50" i="20"/>
  <c r="GU50" i="20"/>
  <c r="GV50" i="20"/>
  <c r="GW50" i="20"/>
  <c r="GX50" i="20"/>
  <c r="GY50" i="20"/>
  <c r="GZ50" i="20"/>
  <c r="HA50" i="20"/>
  <c r="HB50" i="20"/>
  <c r="HC50" i="20"/>
  <c r="HD50" i="20"/>
  <c r="HE50" i="20"/>
  <c r="HF50" i="20"/>
  <c r="HG50" i="20"/>
  <c r="HH50" i="20"/>
  <c r="HI50" i="20"/>
  <c r="HJ50" i="20"/>
  <c r="HK50" i="20"/>
  <c r="HL50" i="20"/>
  <c r="HM50" i="20"/>
  <c r="HN50" i="20"/>
  <c r="HO50" i="20"/>
  <c r="HP50" i="20"/>
  <c r="HQ50" i="20"/>
  <c r="HR50" i="20"/>
  <c r="HS50" i="20"/>
  <c r="HT50" i="20"/>
  <c r="HU50" i="20"/>
  <c r="HV50" i="20"/>
  <c r="HW50" i="20"/>
  <c r="HX50" i="20"/>
  <c r="HY50" i="20"/>
  <c r="HZ50" i="20"/>
  <c r="IA50" i="20"/>
  <c r="IB50" i="20"/>
  <c r="IC50" i="20"/>
  <c r="ID50" i="20"/>
  <c r="IE50" i="20"/>
  <c r="IF50" i="20"/>
  <c r="IG50" i="20"/>
  <c r="IH50" i="20"/>
  <c r="II50" i="20"/>
  <c r="IJ50" i="20"/>
  <c r="IK50" i="20"/>
  <c r="IL50" i="20"/>
  <c r="IM50" i="20"/>
  <c r="IN50" i="20"/>
  <c r="IO50" i="20"/>
  <c r="IP50" i="20"/>
  <c r="IQ50" i="20"/>
  <c r="IR50" i="20"/>
  <c r="IS50" i="20"/>
  <c r="IT50" i="20"/>
  <c r="IU50" i="20"/>
  <c r="IV50" i="20"/>
  <c r="A49" i="20"/>
  <c r="B49" i="20"/>
  <c r="C49" i="20"/>
  <c r="D49"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G49" i="20"/>
  <c r="AH49" i="20"/>
  <c r="AI49" i="20"/>
  <c r="AJ49" i="20"/>
  <c r="AK49" i="20"/>
  <c r="AL49" i="20"/>
  <c r="AM49" i="20"/>
  <c r="AN49" i="20"/>
  <c r="AO49" i="20"/>
  <c r="AP49" i="20"/>
  <c r="AQ49" i="20"/>
  <c r="AR49" i="20"/>
  <c r="AS49" i="20"/>
  <c r="AT49" i="20"/>
  <c r="AU49" i="20"/>
  <c r="AV49" i="20"/>
  <c r="AW49" i="20"/>
  <c r="AX49" i="20"/>
  <c r="AY49" i="20"/>
  <c r="AZ49" i="20"/>
  <c r="BA49" i="20"/>
  <c r="BB49" i="20"/>
  <c r="BC49" i="20"/>
  <c r="BD49" i="20"/>
  <c r="BE49" i="20"/>
  <c r="BF49" i="20"/>
  <c r="BG49" i="20"/>
  <c r="BH49" i="20"/>
  <c r="BI49" i="20"/>
  <c r="BJ49" i="20"/>
  <c r="BK49" i="20"/>
  <c r="BL49" i="20"/>
  <c r="BM49" i="20"/>
  <c r="BN49" i="20"/>
  <c r="BO49" i="20"/>
  <c r="BP49" i="20"/>
  <c r="BQ49" i="20"/>
  <c r="BR49" i="20"/>
  <c r="BS49" i="20"/>
  <c r="BT49" i="20"/>
  <c r="BU49" i="20"/>
  <c r="BV49" i="20"/>
  <c r="BW49" i="20"/>
  <c r="BX49" i="20"/>
  <c r="BY49" i="20"/>
  <c r="BZ49" i="20"/>
  <c r="CA49" i="20"/>
  <c r="CB49" i="20"/>
  <c r="CC49" i="20"/>
  <c r="CD49" i="20"/>
  <c r="CE49" i="20"/>
  <c r="CF49" i="20"/>
  <c r="CG49" i="20"/>
  <c r="CH49" i="20"/>
  <c r="CI49" i="20"/>
  <c r="CJ49" i="20"/>
  <c r="CK49" i="20"/>
  <c r="CL49" i="20"/>
  <c r="CM49" i="20"/>
  <c r="CN49" i="20"/>
  <c r="CO49" i="20"/>
  <c r="CP49" i="20"/>
  <c r="CQ49" i="20"/>
  <c r="CR49" i="20"/>
  <c r="CS49" i="20"/>
  <c r="CT49" i="20"/>
  <c r="CU49" i="20"/>
  <c r="CV49" i="20"/>
  <c r="CW49" i="20"/>
  <c r="CX49" i="20"/>
  <c r="CY49" i="20"/>
  <c r="CZ49" i="20"/>
  <c r="DA49" i="20"/>
  <c r="DB49" i="20"/>
  <c r="DC49" i="20"/>
  <c r="DD49" i="20"/>
  <c r="DE49" i="20"/>
  <c r="DF49" i="20"/>
  <c r="DG49" i="20"/>
  <c r="DH49" i="20"/>
  <c r="DI49" i="20"/>
  <c r="DJ49" i="20"/>
  <c r="DK49" i="20"/>
  <c r="DL49" i="20"/>
  <c r="DM49" i="20"/>
  <c r="DN49" i="20"/>
  <c r="DO49" i="20"/>
  <c r="DP49" i="20"/>
  <c r="DQ49" i="20"/>
  <c r="DR49" i="20"/>
  <c r="DS49" i="20"/>
  <c r="DT49" i="20"/>
  <c r="DU49" i="20"/>
  <c r="DV49" i="20"/>
  <c r="DW49" i="20"/>
  <c r="DX49" i="20"/>
  <c r="DY49" i="20"/>
  <c r="DZ49" i="20"/>
  <c r="EA49" i="20"/>
  <c r="EB49" i="20"/>
  <c r="EC49" i="20"/>
  <c r="ED49" i="20"/>
  <c r="EE49" i="20"/>
  <c r="EF49" i="20"/>
  <c r="EG49" i="20"/>
  <c r="EH49" i="20"/>
  <c r="EI49" i="20"/>
  <c r="EJ49" i="20"/>
  <c r="EK49" i="20"/>
  <c r="EL49" i="20"/>
  <c r="EM49" i="20"/>
  <c r="EN49" i="20"/>
  <c r="EO49" i="20"/>
  <c r="EP49" i="20"/>
  <c r="EQ49" i="20"/>
  <c r="ER49" i="20"/>
  <c r="ES49" i="20"/>
  <c r="ET49" i="20"/>
  <c r="EU49" i="20"/>
  <c r="EV49" i="20"/>
  <c r="EW49" i="20"/>
  <c r="EX49" i="20"/>
  <c r="EY49" i="20"/>
  <c r="EZ49" i="20"/>
  <c r="FA49" i="20"/>
  <c r="FB49" i="20"/>
  <c r="FC49" i="20"/>
  <c r="FD49" i="20"/>
  <c r="FE49" i="20"/>
  <c r="FF49" i="20"/>
  <c r="FG49" i="20"/>
  <c r="FH49" i="20"/>
  <c r="FI49" i="20"/>
  <c r="FJ49" i="20"/>
  <c r="FK49" i="20"/>
  <c r="FL49" i="20"/>
  <c r="FM49" i="20"/>
  <c r="FN49" i="20"/>
  <c r="FO49" i="20"/>
  <c r="FP49" i="20"/>
  <c r="FQ49" i="20"/>
  <c r="FR49" i="20"/>
  <c r="FS49" i="20"/>
  <c r="FT49" i="20"/>
  <c r="FU49" i="20"/>
  <c r="FV49" i="20"/>
  <c r="FW49" i="20"/>
  <c r="FX49" i="20"/>
  <c r="FY49" i="20"/>
  <c r="FZ49" i="20"/>
  <c r="GA49" i="20"/>
  <c r="GB49" i="20"/>
  <c r="GC49" i="20"/>
  <c r="GD49" i="20"/>
  <c r="GE49" i="20"/>
  <c r="GF49" i="20"/>
  <c r="GG49" i="20"/>
  <c r="GH49" i="20"/>
  <c r="GI49" i="20"/>
  <c r="GJ49" i="20"/>
  <c r="GK49" i="20"/>
  <c r="GL49" i="20"/>
  <c r="GM49" i="20"/>
  <c r="GN49" i="20"/>
  <c r="GO49" i="20"/>
  <c r="GP49" i="20"/>
  <c r="GQ49" i="20"/>
  <c r="GR49" i="20"/>
  <c r="GS49" i="20"/>
  <c r="GT49" i="20"/>
  <c r="GU49" i="20"/>
  <c r="GV49" i="20"/>
  <c r="GW49" i="20"/>
  <c r="GX49" i="20"/>
  <c r="GY49" i="20"/>
  <c r="GZ49" i="20"/>
  <c r="HA49" i="20"/>
  <c r="HB49" i="20"/>
  <c r="HC49" i="20"/>
  <c r="HD49" i="20"/>
  <c r="HE49" i="20"/>
  <c r="HF49" i="20"/>
  <c r="HG49" i="20"/>
  <c r="HH49" i="20"/>
  <c r="HI49" i="20"/>
  <c r="HJ49" i="20"/>
  <c r="HK49" i="20"/>
  <c r="HL49" i="20"/>
  <c r="HM49" i="20"/>
  <c r="HN49" i="20"/>
  <c r="HO49" i="20"/>
  <c r="HP49" i="20"/>
  <c r="HQ49" i="20"/>
  <c r="HR49" i="20"/>
  <c r="HS49" i="20"/>
  <c r="HT49" i="20"/>
  <c r="HU49" i="20"/>
  <c r="HV49" i="20"/>
  <c r="HW49" i="20"/>
  <c r="HX49" i="20"/>
  <c r="HY49" i="20"/>
  <c r="HZ49" i="20"/>
  <c r="IA49" i="20"/>
  <c r="IB49" i="20"/>
  <c r="IC49" i="20"/>
  <c r="ID49" i="20"/>
  <c r="IE49" i="20"/>
  <c r="IF49" i="20"/>
  <c r="IG49" i="20"/>
  <c r="IH49" i="20"/>
  <c r="II49" i="20"/>
  <c r="IJ49" i="20"/>
  <c r="IK49" i="20"/>
  <c r="IL49" i="20"/>
  <c r="IM49" i="20"/>
  <c r="IN49" i="20"/>
  <c r="IO49" i="20"/>
  <c r="IP49" i="20"/>
  <c r="IQ49" i="20"/>
  <c r="IR49" i="20"/>
  <c r="IS49" i="20"/>
  <c r="IT49" i="20"/>
  <c r="IU49" i="20"/>
  <c r="IV49" i="20"/>
  <c r="A48" i="20"/>
  <c r="B48" i="20"/>
  <c r="C48" i="20"/>
  <c r="D48" i="20"/>
  <c r="E48"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G48" i="20"/>
  <c r="AH48" i="20"/>
  <c r="AI48" i="20"/>
  <c r="AJ48" i="20"/>
  <c r="AK48" i="20"/>
  <c r="AL48" i="20"/>
  <c r="AM48" i="20"/>
  <c r="AN48" i="20"/>
  <c r="AO48" i="20"/>
  <c r="AP48" i="20"/>
  <c r="AQ48" i="20"/>
  <c r="AR48" i="20"/>
  <c r="AS48" i="20"/>
  <c r="AT48" i="20"/>
  <c r="AU48" i="20"/>
  <c r="AV48" i="20"/>
  <c r="AW48" i="20"/>
  <c r="AX48" i="20"/>
  <c r="AY48" i="20"/>
  <c r="AZ48" i="20"/>
  <c r="BA48" i="20"/>
  <c r="BB48" i="20"/>
  <c r="BC48" i="20"/>
  <c r="BD48" i="20"/>
  <c r="BE48" i="20"/>
  <c r="BF48" i="20"/>
  <c r="BG48" i="20"/>
  <c r="BH48" i="20"/>
  <c r="BI48" i="20"/>
  <c r="BJ48" i="20"/>
  <c r="BK48" i="20"/>
  <c r="BL48" i="20"/>
  <c r="BM48" i="20"/>
  <c r="BN48" i="20"/>
  <c r="BO48" i="20"/>
  <c r="BP48" i="20"/>
  <c r="BQ48" i="20"/>
  <c r="BR48" i="20"/>
  <c r="BS48" i="20"/>
  <c r="BT48" i="20"/>
  <c r="BU48" i="20"/>
  <c r="BV48" i="20"/>
  <c r="BW48" i="20"/>
  <c r="BX48" i="20"/>
  <c r="BY48" i="20"/>
  <c r="BZ48" i="20"/>
  <c r="CA48" i="20"/>
  <c r="CB48" i="20"/>
  <c r="CC48" i="20"/>
  <c r="CD48" i="20"/>
  <c r="CE48" i="20"/>
  <c r="CF48" i="20"/>
  <c r="CG48" i="20"/>
  <c r="CH48" i="20"/>
  <c r="CI48" i="20"/>
  <c r="CJ48" i="20"/>
  <c r="CK48" i="20"/>
  <c r="CL48" i="20"/>
  <c r="CM48" i="20"/>
  <c r="CN48" i="20"/>
  <c r="CO48" i="20"/>
  <c r="CP48" i="20"/>
  <c r="CQ48" i="20"/>
  <c r="CR48" i="20"/>
  <c r="CS48" i="20"/>
  <c r="CT48" i="20"/>
  <c r="CU48" i="20"/>
  <c r="CV48" i="20"/>
  <c r="CW48" i="20"/>
  <c r="CX48" i="20"/>
  <c r="CY48" i="20"/>
  <c r="CZ48" i="20"/>
  <c r="DA48" i="20"/>
  <c r="DB48" i="20"/>
  <c r="DC48" i="20"/>
  <c r="DD48" i="20"/>
  <c r="DE48" i="20"/>
  <c r="DF48" i="20"/>
  <c r="DG48" i="20"/>
  <c r="DH48" i="20"/>
  <c r="DI48" i="20"/>
  <c r="DJ48" i="20"/>
  <c r="DK48" i="20"/>
  <c r="DL48" i="20"/>
  <c r="DM48" i="20"/>
  <c r="DN48" i="20"/>
  <c r="DO48" i="20"/>
  <c r="DP48" i="20"/>
  <c r="DQ48" i="20"/>
  <c r="DR48" i="20"/>
  <c r="DS48" i="20"/>
  <c r="DT48" i="20"/>
  <c r="DU48" i="20"/>
  <c r="DV48" i="20"/>
  <c r="DW48" i="20"/>
  <c r="DX48" i="20"/>
  <c r="DY48" i="20"/>
  <c r="DZ48" i="20"/>
  <c r="EA48" i="20"/>
  <c r="EB48" i="20"/>
  <c r="EC48" i="20"/>
  <c r="ED48" i="20"/>
  <c r="EE48" i="20"/>
  <c r="EF48" i="20"/>
  <c r="EG48" i="20"/>
  <c r="EH48" i="20"/>
  <c r="EI48" i="20"/>
  <c r="EJ48" i="20"/>
  <c r="EK48" i="20"/>
  <c r="EL48" i="20"/>
  <c r="EM48" i="20"/>
  <c r="EN48" i="20"/>
  <c r="EO48" i="20"/>
  <c r="EP48" i="20"/>
  <c r="EQ48" i="20"/>
  <c r="ER48" i="20"/>
  <c r="ES48" i="20"/>
  <c r="ET48" i="20"/>
  <c r="EU48" i="20"/>
  <c r="EV48" i="20"/>
  <c r="EW48" i="20"/>
  <c r="EX48" i="20"/>
  <c r="EY48" i="20"/>
  <c r="EZ48" i="20"/>
  <c r="FA48" i="20"/>
  <c r="FB48" i="20"/>
  <c r="FC48" i="20"/>
  <c r="FD48" i="20"/>
  <c r="FE48" i="20"/>
  <c r="FF48" i="20"/>
  <c r="FG48" i="20"/>
  <c r="FH48" i="20"/>
  <c r="FI48" i="20"/>
  <c r="FJ48" i="20"/>
  <c r="FK48" i="20"/>
  <c r="FL48" i="20"/>
  <c r="FM48" i="20"/>
  <c r="FN48" i="20"/>
  <c r="FO48" i="20"/>
  <c r="FP48" i="20"/>
  <c r="FQ48" i="20"/>
  <c r="FR48" i="20"/>
  <c r="FS48" i="20"/>
  <c r="FT48" i="20"/>
  <c r="FU48" i="20"/>
  <c r="FV48" i="20"/>
  <c r="FW48" i="20"/>
  <c r="FX48" i="20"/>
  <c r="FY48" i="20"/>
  <c r="FZ48" i="20"/>
  <c r="GA48" i="20"/>
  <c r="GB48" i="20"/>
  <c r="GC48" i="20"/>
  <c r="GD48" i="20"/>
  <c r="GE48" i="20"/>
  <c r="GF48" i="20"/>
  <c r="GG48" i="20"/>
  <c r="GH48" i="20"/>
  <c r="GI48" i="20"/>
  <c r="GJ48" i="20"/>
  <c r="GK48" i="20"/>
  <c r="GL48" i="20"/>
  <c r="GM48" i="20"/>
  <c r="GN48" i="20"/>
  <c r="GO48" i="20"/>
  <c r="GP48" i="20"/>
  <c r="GQ48" i="20"/>
  <c r="GR48" i="20"/>
  <c r="GS48" i="20"/>
  <c r="GT48" i="20"/>
  <c r="GU48" i="20"/>
  <c r="GV48" i="20"/>
  <c r="GW48" i="20"/>
  <c r="GX48" i="20"/>
  <c r="GY48" i="20"/>
  <c r="GZ48" i="20"/>
  <c r="HA48" i="20"/>
  <c r="HB48" i="20"/>
  <c r="HC48" i="20"/>
  <c r="HD48" i="20"/>
  <c r="HE48" i="20"/>
  <c r="HF48" i="20"/>
  <c r="HG48" i="20"/>
  <c r="HH48" i="20"/>
  <c r="HI48" i="20"/>
  <c r="HJ48" i="20"/>
  <c r="HK48" i="20"/>
  <c r="HL48" i="20"/>
  <c r="HM48" i="20"/>
  <c r="HN48" i="20"/>
  <c r="HO48" i="20"/>
  <c r="HP48" i="20"/>
  <c r="HQ48" i="20"/>
  <c r="HR48" i="20"/>
  <c r="HS48" i="20"/>
  <c r="HT48" i="20"/>
  <c r="HU48" i="20"/>
  <c r="HV48" i="20"/>
  <c r="HW48" i="20"/>
  <c r="HX48" i="20"/>
  <c r="HY48" i="20"/>
  <c r="HZ48" i="20"/>
  <c r="IA48" i="20"/>
  <c r="IB48" i="20"/>
  <c r="IC48" i="20"/>
  <c r="ID48" i="20"/>
  <c r="IE48" i="20"/>
  <c r="IF48" i="20"/>
  <c r="IG48" i="20"/>
  <c r="IH48" i="20"/>
  <c r="II48" i="20"/>
  <c r="IJ48" i="20"/>
  <c r="IK48" i="20"/>
  <c r="IL48" i="20"/>
  <c r="IM48" i="20"/>
  <c r="IN48" i="20"/>
  <c r="IO48" i="20"/>
  <c r="IP48" i="20"/>
  <c r="IQ48" i="20"/>
  <c r="IR48" i="20"/>
  <c r="IS48" i="20"/>
  <c r="IT48" i="20"/>
  <c r="IU48" i="20"/>
  <c r="IV48" i="20"/>
  <c r="A47" i="20"/>
  <c r="B47" i="20"/>
  <c r="C47" i="20"/>
  <c r="D47" i="20"/>
  <c r="E47"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G47" i="20"/>
  <c r="AH47" i="20"/>
  <c r="AI47" i="20"/>
  <c r="AJ47" i="20"/>
  <c r="AK47" i="20"/>
  <c r="AL47" i="20"/>
  <c r="AM47" i="20"/>
  <c r="AN47" i="20"/>
  <c r="AO47" i="20"/>
  <c r="AP47" i="20"/>
  <c r="AQ47" i="20"/>
  <c r="AR47" i="20"/>
  <c r="AS47" i="20"/>
  <c r="AT47" i="20"/>
  <c r="AU47" i="20"/>
  <c r="AV47" i="20"/>
  <c r="AW47" i="20"/>
  <c r="AX47" i="20"/>
  <c r="AY47" i="20"/>
  <c r="AZ47" i="20"/>
  <c r="BA47" i="20"/>
  <c r="BB47" i="20"/>
  <c r="BC47" i="20"/>
  <c r="BD47" i="20"/>
  <c r="BE47" i="20"/>
  <c r="BF47" i="20"/>
  <c r="BG47" i="20"/>
  <c r="BH47" i="20"/>
  <c r="BI47" i="20"/>
  <c r="BJ47" i="20"/>
  <c r="BK47" i="20"/>
  <c r="BL47" i="20"/>
  <c r="BM47" i="20"/>
  <c r="BN47" i="20"/>
  <c r="BO47" i="20"/>
  <c r="BP47" i="20"/>
  <c r="BQ47" i="20"/>
  <c r="BR47" i="20"/>
  <c r="BS47" i="20"/>
  <c r="BT47" i="20"/>
  <c r="BU47" i="20"/>
  <c r="BV47" i="20"/>
  <c r="BW47" i="20"/>
  <c r="BX47" i="20"/>
  <c r="BY47" i="20"/>
  <c r="BZ47" i="20"/>
  <c r="CA47" i="20"/>
  <c r="CB47" i="20"/>
  <c r="CC47" i="20"/>
  <c r="CD47" i="20"/>
  <c r="CE47" i="20"/>
  <c r="CF47" i="20"/>
  <c r="CG47" i="20"/>
  <c r="CH47" i="20"/>
  <c r="CI47" i="20"/>
  <c r="CJ47" i="20"/>
  <c r="CK47" i="20"/>
  <c r="CL47" i="20"/>
  <c r="CM47" i="20"/>
  <c r="CN47" i="20"/>
  <c r="CO47" i="20"/>
  <c r="CP47" i="20"/>
  <c r="CQ47" i="20"/>
  <c r="CR47" i="20"/>
  <c r="CS47" i="20"/>
  <c r="CT47" i="20"/>
  <c r="CU47" i="20"/>
  <c r="CV47" i="20"/>
  <c r="CW47" i="20"/>
  <c r="CX47" i="20"/>
  <c r="CY47" i="20"/>
  <c r="CZ47" i="20"/>
  <c r="DA47" i="20"/>
  <c r="DB47" i="20"/>
  <c r="DC47" i="20"/>
  <c r="DD47" i="20"/>
  <c r="DE47" i="20"/>
  <c r="DF47" i="20"/>
  <c r="DG47" i="20"/>
  <c r="DH47" i="20"/>
  <c r="DI47" i="20"/>
  <c r="DJ47" i="20"/>
  <c r="DK47" i="20"/>
  <c r="DL47" i="20"/>
  <c r="DM47" i="20"/>
  <c r="DN47" i="20"/>
  <c r="DO47" i="20"/>
  <c r="DP47" i="20"/>
  <c r="DQ47" i="20"/>
  <c r="DR47" i="20"/>
  <c r="DS47" i="20"/>
  <c r="DT47" i="20"/>
  <c r="DU47" i="20"/>
  <c r="DV47" i="20"/>
  <c r="DW47" i="20"/>
  <c r="DX47" i="20"/>
  <c r="DY47" i="20"/>
  <c r="DZ47" i="20"/>
  <c r="EA47" i="20"/>
  <c r="EB47" i="20"/>
  <c r="EC47" i="20"/>
  <c r="ED47" i="20"/>
  <c r="EE47" i="20"/>
  <c r="EF47" i="20"/>
  <c r="EG47" i="20"/>
  <c r="EH47" i="20"/>
  <c r="EI47" i="20"/>
  <c r="EJ47" i="20"/>
  <c r="EK47" i="20"/>
  <c r="EL47" i="20"/>
  <c r="EM47" i="20"/>
  <c r="EN47" i="20"/>
  <c r="EO47" i="20"/>
  <c r="EP47" i="20"/>
  <c r="EQ47" i="20"/>
  <c r="ER47" i="20"/>
  <c r="ES47" i="20"/>
  <c r="ET47" i="20"/>
  <c r="EU47" i="20"/>
  <c r="EV47" i="20"/>
  <c r="EW47" i="20"/>
  <c r="EX47" i="20"/>
  <c r="EY47" i="20"/>
  <c r="EZ47" i="20"/>
  <c r="FA47" i="20"/>
  <c r="FB47" i="20"/>
  <c r="FC47" i="20"/>
  <c r="FD47" i="20"/>
  <c r="FE47" i="20"/>
  <c r="FF47" i="20"/>
  <c r="FG47" i="20"/>
  <c r="FH47" i="20"/>
  <c r="FI47" i="20"/>
  <c r="FJ47" i="20"/>
  <c r="FK47" i="20"/>
  <c r="FL47" i="20"/>
  <c r="FM47" i="20"/>
  <c r="FN47" i="20"/>
  <c r="FO47" i="20"/>
  <c r="FP47" i="20"/>
  <c r="FQ47" i="20"/>
  <c r="FR47" i="20"/>
  <c r="FS47" i="20"/>
  <c r="FT47" i="20"/>
  <c r="FU47" i="20"/>
  <c r="FV47" i="20"/>
  <c r="FW47" i="20"/>
  <c r="FX47" i="20"/>
  <c r="FY47" i="20"/>
  <c r="FZ47" i="20"/>
  <c r="GA47" i="20"/>
  <c r="GB47" i="20"/>
  <c r="GC47" i="20"/>
  <c r="GD47" i="20"/>
  <c r="GE47" i="20"/>
  <c r="GF47" i="20"/>
  <c r="GG47" i="20"/>
  <c r="GH47" i="20"/>
  <c r="GI47" i="20"/>
  <c r="GJ47" i="20"/>
  <c r="GK47" i="20"/>
  <c r="GL47" i="20"/>
  <c r="GM47" i="20"/>
  <c r="GN47" i="20"/>
  <c r="GO47" i="20"/>
  <c r="GP47" i="20"/>
  <c r="GQ47" i="20"/>
  <c r="GR47" i="20"/>
  <c r="GS47" i="20"/>
  <c r="GT47" i="20"/>
  <c r="GU47" i="20"/>
  <c r="GV47" i="20"/>
  <c r="GW47" i="20"/>
  <c r="GX47" i="20"/>
  <c r="GY47" i="20"/>
  <c r="GZ47" i="20"/>
  <c r="HA47" i="20"/>
  <c r="HB47" i="20"/>
  <c r="HC47" i="20"/>
  <c r="HD47" i="20"/>
  <c r="HE47" i="20"/>
  <c r="HF47" i="20"/>
  <c r="HG47" i="20"/>
  <c r="HH47" i="20"/>
  <c r="HI47" i="20"/>
  <c r="HJ47" i="20"/>
  <c r="HK47" i="20"/>
  <c r="HL47" i="20"/>
  <c r="HM47" i="20"/>
  <c r="HN47" i="20"/>
  <c r="HO47" i="20"/>
  <c r="HP47" i="20"/>
  <c r="HQ47" i="20"/>
  <c r="HR47" i="20"/>
  <c r="HS47" i="20"/>
  <c r="HT47" i="20"/>
  <c r="HU47" i="20"/>
  <c r="HV47" i="20"/>
  <c r="HW47" i="20"/>
  <c r="HX47" i="20"/>
  <c r="HY47" i="20"/>
  <c r="HZ47" i="20"/>
  <c r="IA47" i="20"/>
  <c r="IB47" i="20"/>
  <c r="IC47" i="20"/>
  <c r="ID47" i="20"/>
  <c r="IE47" i="20"/>
  <c r="IF47" i="20"/>
  <c r="IG47" i="20"/>
  <c r="IH47" i="20"/>
  <c r="II47" i="20"/>
  <c r="IJ47" i="20"/>
  <c r="IK47" i="20"/>
  <c r="IL47" i="20"/>
  <c r="IM47" i="20"/>
  <c r="IN47" i="20"/>
  <c r="IO47" i="20"/>
  <c r="IP47" i="20"/>
  <c r="IQ47" i="20"/>
  <c r="IR47" i="20"/>
  <c r="IS47" i="20"/>
  <c r="IT47" i="20"/>
  <c r="IU47" i="20"/>
  <c r="IV47" i="20"/>
  <c r="A46" i="20"/>
  <c r="B46" i="20"/>
  <c r="C46" i="20"/>
  <c r="D46" i="20"/>
  <c r="E46"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G46" i="20"/>
  <c r="AH46" i="20"/>
  <c r="AI46" i="20"/>
  <c r="AJ46" i="20"/>
  <c r="AK46" i="20"/>
  <c r="AL46" i="20"/>
  <c r="AM46" i="20"/>
  <c r="AN46" i="20"/>
  <c r="AO46" i="20"/>
  <c r="AP46" i="20"/>
  <c r="AQ46" i="20"/>
  <c r="AR46" i="20"/>
  <c r="AS46" i="20"/>
  <c r="AT46" i="20"/>
  <c r="AU46" i="20"/>
  <c r="AV46" i="20"/>
  <c r="AW46" i="20"/>
  <c r="AX46" i="20"/>
  <c r="AY46" i="20"/>
  <c r="AZ46" i="20"/>
  <c r="BA46" i="20"/>
  <c r="BB46" i="20"/>
  <c r="BC46" i="20"/>
  <c r="BD46" i="20"/>
  <c r="BE46" i="20"/>
  <c r="BF46" i="20"/>
  <c r="BG46" i="20"/>
  <c r="BH46" i="20"/>
  <c r="BI46" i="20"/>
  <c r="BJ46" i="20"/>
  <c r="BK46" i="20"/>
  <c r="BL46" i="20"/>
  <c r="BM46" i="20"/>
  <c r="BN46" i="20"/>
  <c r="BO46" i="20"/>
  <c r="BP46" i="20"/>
  <c r="BQ46" i="20"/>
  <c r="BR46" i="20"/>
  <c r="BS46" i="20"/>
  <c r="BT46" i="20"/>
  <c r="BU46" i="20"/>
  <c r="BV46" i="20"/>
  <c r="BW46" i="20"/>
  <c r="BX46" i="20"/>
  <c r="BY46" i="20"/>
  <c r="BZ46" i="20"/>
  <c r="CA46" i="20"/>
  <c r="CB46" i="20"/>
  <c r="CC46" i="20"/>
  <c r="CD46" i="20"/>
  <c r="CE46" i="20"/>
  <c r="CF46" i="20"/>
  <c r="CG46" i="20"/>
  <c r="CH46" i="20"/>
  <c r="CI46" i="20"/>
  <c r="CJ46" i="20"/>
  <c r="CK46" i="20"/>
  <c r="CL46" i="20"/>
  <c r="CM46" i="20"/>
  <c r="CN46" i="20"/>
  <c r="CO46" i="20"/>
  <c r="CP46" i="20"/>
  <c r="CQ46" i="20"/>
  <c r="CR46" i="20"/>
  <c r="CS46" i="20"/>
  <c r="CT46" i="20"/>
  <c r="CU46" i="20"/>
  <c r="CV46" i="20"/>
  <c r="CW46" i="20"/>
  <c r="CX46" i="20"/>
  <c r="CY46" i="20"/>
  <c r="CZ46" i="20"/>
  <c r="DA46" i="20"/>
  <c r="DB46" i="20"/>
  <c r="DC46" i="20"/>
  <c r="DD46" i="20"/>
  <c r="DE46" i="20"/>
  <c r="DF46" i="20"/>
  <c r="DG46" i="20"/>
  <c r="DH46" i="20"/>
  <c r="DI46" i="20"/>
  <c r="DJ46" i="20"/>
  <c r="DK46" i="20"/>
  <c r="DL46" i="20"/>
  <c r="DM46" i="20"/>
  <c r="DN46" i="20"/>
  <c r="DO46" i="20"/>
  <c r="DP46" i="20"/>
  <c r="DQ46" i="20"/>
  <c r="DR46" i="20"/>
  <c r="DS46" i="20"/>
  <c r="DT46" i="20"/>
  <c r="DU46" i="20"/>
  <c r="DV46" i="20"/>
  <c r="DW46" i="20"/>
  <c r="DX46" i="20"/>
  <c r="DY46" i="20"/>
  <c r="DZ46" i="20"/>
  <c r="EA46" i="20"/>
  <c r="EB46" i="20"/>
  <c r="EC46" i="20"/>
  <c r="ED46" i="20"/>
  <c r="EE46" i="20"/>
  <c r="EF46" i="20"/>
  <c r="EG46" i="20"/>
  <c r="EH46" i="20"/>
  <c r="EI46" i="20"/>
  <c r="EJ46" i="20"/>
  <c r="EK46" i="20"/>
  <c r="EL46" i="20"/>
  <c r="EM46" i="20"/>
  <c r="EN46" i="20"/>
  <c r="EO46" i="20"/>
  <c r="EP46" i="20"/>
  <c r="EQ46" i="20"/>
  <c r="ER46" i="20"/>
  <c r="ES46" i="20"/>
  <c r="ET46" i="20"/>
  <c r="EU46" i="20"/>
  <c r="EV46" i="20"/>
  <c r="EW46" i="20"/>
  <c r="EX46" i="20"/>
  <c r="EY46" i="20"/>
  <c r="EZ46" i="20"/>
  <c r="FA46" i="20"/>
  <c r="FB46" i="20"/>
  <c r="FC46" i="20"/>
  <c r="FD46" i="20"/>
  <c r="FE46" i="20"/>
  <c r="FF46" i="20"/>
  <c r="FG46" i="20"/>
  <c r="FH46" i="20"/>
  <c r="FI46" i="20"/>
  <c r="FJ46" i="20"/>
  <c r="FK46" i="20"/>
  <c r="FL46" i="20"/>
  <c r="FM46" i="20"/>
  <c r="FN46" i="20"/>
  <c r="FO46" i="20"/>
  <c r="FP46" i="20"/>
  <c r="FQ46" i="20"/>
  <c r="FR46" i="20"/>
  <c r="FS46" i="20"/>
  <c r="FT46" i="20"/>
  <c r="FU46" i="20"/>
  <c r="FV46" i="20"/>
  <c r="FW46" i="20"/>
  <c r="FX46" i="20"/>
  <c r="FY46" i="20"/>
  <c r="FZ46" i="20"/>
  <c r="GA46" i="20"/>
  <c r="GB46" i="20"/>
  <c r="GC46" i="20"/>
  <c r="GD46" i="20"/>
  <c r="GE46" i="20"/>
  <c r="GF46" i="20"/>
  <c r="GG46" i="20"/>
  <c r="GH46" i="20"/>
  <c r="GI46" i="20"/>
  <c r="GJ46" i="20"/>
  <c r="GK46" i="20"/>
  <c r="GL46" i="20"/>
  <c r="GM46" i="20"/>
  <c r="GN46" i="20"/>
  <c r="GO46" i="20"/>
  <c r="GP46" i="20"/>
  <c r="GQ46" i="20"/>
  <c r="GR46" i="20"/>
  <c r="GS46" i="20"/>
  <c r="GT46" i="20"/>
  <c r="GU46" i="20"/>
  <c r="GV46" i="20"/>
  <c r="GW46" i="20"/>
  <c r="GX46" i="20"/>
  <c r="GY46" i="20"/>
  <c r="GZ46" i="20"/>
  <c r="HA46" i="20"/>
  <c r="HB46" i="20"/>
  <c r="HC46" i="20"/>
  <c r="HD46" i="20"/>
  <c r="HE46" i="20"/>
  <c r="HF46" i="20"/>
  <c r="HG46" i="20"/>
  <c r="HH46" i="20"/>
  <c r="HI46" i="20"/>
  <c r="HJ46" i="20"/>
  <c r="HK46" i="20"/>
  <c r="HL46" i="20"/>
  <c r="HM46" i="20"/>
  <c r="HN46" i="20"/>
  <c r="HO46" i="20"/>
  <c r="HP46" i="20"/>
  <c r="HQ46" i="20"/>
  <c r="HR46" i="20"/>
  <c r="HS46" i="20"/>
  <c r="HT46" i="20"/>
  <c r="HU46" i="20"/>
  <c r="HV46" i="20"/>
  <c r="HW46" i="20"/>
  <c r="HX46" i="20"/>
  <c r="HY46" i="20"/>
  <c r="HZ46" i="20"/>
  <c r="IA46" i="20"/>
  <c r="IB46" i="20"/>
  <c r="IC46" i="20"/>
  <c r="ID46" i="20"/>
  <c r="IE46" i="20"/>
  <c r="IF46" i="20"/>
  <c r="IG46" i="20"/>
  <c r="IH46" i="20"/>
  <c r="II46" i="20"/>
  <c r="IJ46" i="20"/>
  <c r="IK46" i="20"/>
  <c r="IL46" i="20"/>
  <c r="IM46" i="20"/>
  <c r="IN46" i="20"/>
  <c r="IO46" i="20"/>
  <c r="IP46" i="20"/>
  <c r="IQ46" i="20"/>
  <c r="IR46" i="20"/>
  <c r="IS46" i="20"/>
  <c r="IT46" i="20"/>
  <c r="IU46" i="20"/>
  <c r="IV46" i="20"/>
  <c r="A45"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G45" i="20"/>
  <c r="AH45" i="20"/>
  <c r="AI45" i="20"/>
  <c r="AJ45" i="20"/>
  <c r="AK45" i="20"/>
  <c r="AL45" i="20"/>
  <c r="AM45" i="20"/>
  <c r="AN45" i="20"/>
  <c r="AO45" i="20"/>
  <c r="AP45" i="20"/>
  <c r="AQ45" i="20"/>
  <c r="AR45" i="20"/>
  <c r="AS45" i="20"/>
  <c r="AT45" i="20"/>
  <c r="AU45" i="20"/>
  <c r="AV45" i="20"/>
  <c r="AW45" i="20"/>
  <c r="AX45" i="20"/>
  <c r="AY45" i="20"/>
  <c r="AZ45" i="20"/>
  <c r="BA45" i="20"/>
  <c r="BB45" i="20"/>
  <c r="BC45" i="20"/>
  <c r="BD45" i="20"/>
  <c r="BE45" i="20"/>
  <c r="BF45" i="20"/>
  <c r="BG45" i="20"/>
  <c r="BH45" i="20"/>
  <c r="BI45" i="20"/>
  <c r="BJ45" i="20"/>
  <c r="BK45" i="20"/>
  <c r="BL45" i="20"/>
  <c r="BM45" i="20"/>
  <c r="BN45" i="20"/>
  <c r="BO45" i="20"/>
  <c r="BP45" i="20"/>
  <c r="BQ45" i="20"/>
  <c r="BR45" i="20"/>
  <c r="BS45" i="20"/>
  <c r="BT45" i="20"/>
  <c r="BU45" i="20"/>
  <c r="BV45" i="20"/>
  <c r="BW45" i="20"/>
  <c r="BX45" i="20"/>
  <c r="BY45" i="20"/>
  <c r="BZ45" i="20"/>
  <c r="CA45" i="20"/>
  <c r="CB45" i="20"/>
  <c r="CC45" i="20"/>
  <c r="CD45" i="20"/>
  <c r="CE45" i="20"/>
  <c r="CF45" i="20"/>
  <c r="CG45" i="20"/>
  <c r="CH45" i="20"/>
  <c r="CI45" i="20"/>
  <c r="CJ45" i="20"/>
  <c r="CK45" i="20"/>
  <c r="CL45" i="20"/>
  <c r="CM45" i="20"/>
  <c r="CN45" i="20"/>
  <c r="CO45" i="20"/>
  <c r="CP45" i="20"/>
  <c r="CQ45" i="20"/>
  <c r="CR45" i="20"/>
  <c r="CS45" i="20"/>
  <c r="CT45" i="20"/>
  <c r="CU45" i="20"/>
  <c r="CV45" i="20"/>
  <c r="CW45" i="20"/>
  <c r="CX45" i="20"/>
  <c r="CY45" i="20"/>
  <c r="CZ45" i="20"/>
  <c r="DA45" i="20"/>
  <c r="DB45" i="20"/>
  <c r="DC45" i="20"/>
  <c r="DD45" i="20"/>
  <c r="DE45" i="20"/>
  <c r="DF45" i="20"/>
  <c r="DG45" i="20"/>
  <c r="DH45" i="20"/>
  <c r="DI45" i="20"/>
  <c r="DJ45" i="20"/>
  <c r="DK45" i="20"/>
  <c r="DL45" i="20"/>
  <c r="DM45" i="20"/>
  <c r="DN45" i="20"/>
  <c r="DO45" i="20"/>
  <c r="DP45" i="20"/>
  <c r="DQ45" i="20"/>
  <c r="DR45" i="20"/>
  <c r="DS45" i="20"/>
  <c r="DT45" i="20"/>
  <c r="DU45" i="20"/>
  <c r="DV45" i="20"/>
  <c r="DW45" i="20"/>
  <c r="DX45" i="20"/>
  <c r="DY45" i="20"/>
  <c r="DZ45" i="20"/>
  <c r="EA45" i="20"/>
  <c r="EB45" i="20"/>
  <c r="EC45" i="20"/>
  <c r="ED45" i="20"/>
  <c r="EE45" i="20"/>
  <c r="EF45" i="20"/>
  <c r="EG45" i="20"/>
  <c r="EH45" i="20"/>
  <c r="EI45" i="20"/>
  <c r="EJ45" i="20"/>
  <c r="EK45" i="20"/>
  <c r="EL45" i="20"/>
  <c r="EM45" i="20"/>
  <c r="EN45" i="20"/>
  <c r="EO45" i="20"/>
  <c r="EP45" i="20"/>
  <c r="EQ45" i="20"/>
  <c r="ER45" i="20"/>
  <c r="ES45" i="20"/>
  <c r="ET45" i="20"/>
  <c r="EU45" i="20"/>
  <c r="EV45" i="20"/>
  <c r="EW45" i="20"/>
  <c r="EX45" i="20"/>
  <c r="EY45" i="20"/>
  <c r="EZ45" i="20"/>
  <c r="FA45" i="20"/>
  <c r="FB45" i="20"/>
  <c r="FC45" i="20"/>
  <c r="FD45" i="20"/>
  <c r="FE45" i="20"/>
  <c r="FF45" i="20"/>
  <c r="FG45" i="20"/>
  <c r="FH45" i="20"/>
  <c r="FI45" i="20"/>
  <c r="FJ45" i="20"/>
  <c r="FK45" i="20"/>
  <c r="FL45" i="20"/>
  <c r="FM45" i="20"/>
  <c r="FN45" i="20"/>
  <c r="FO45" i="20"/>
  <c r="FP45" i="20"/>
  <c r="FQ45" i="20"/>
  <c r="FR45" i="20"/>
  <c r="FS45" i="20"/>
  <c r="FT45" i="20"/>
  <c r="FU45" i="20"/>
  <c r="FV45" i="20"/>
  <c r="FW45" i="20"/>
  <c r="FX45" i="20"/>
  <c r="FY45" i="20"/>
  <c r="FZ45" i="20"/>
  <c r="GA45" i="20"/>
  <c r="GB45" i="20"/>
  <c r="GC45" i="20"/>
  <c r="GD45" i="20"/>
  <c r="GE45" i="20"/>
  <c r="GF45" i="20"/>
  <c r="GG45" i="20"/>
  <c r="GH45" i="20"/>
  <c r="GI45" i="20"/>
  <c r="GJ45" i="20"/>
  <c r="GK45" i="20"/>
  <c r="GL45" i="20"/>
  <c r="GM45" i="20"/>
  <c r="GN45" i="20"/>
  <c r="GO45" i="20"/>
  <c r="GP45" i="20"/>
  <c r="GQ45" i="20"/>
  <c r="GR45" i="20"/>
  <c r="GS45" i="20"/>
  <c r="GT45" i="20"/>
  <c r="GU45" i="20"/>
  <c r="GV45" i="20"/>
  <c r="GW45" i="20"/>
  <c r="GX45" i="20"/>
  <c r="GY45" i="20"/>
  <c r="GZ45" i="20"/>
  <c r="HA45" i="20"/>
  <c r="HB45" i="20"/>
  <c r="HC45" i="20"/>
  <c r="HD45" i="20"/>
  <c r="HE45" i="20"/>
  <c r="HF45" i="20"/>
  <c r="HG45" i="20"/>
  <c r="HH45" i="20"/>
  <c r="HI45" i="20"/>
  <c r="HJ45" i="20"/>
  <c r="HK45" i="20"/>
  <c r="HL45" i="20"/>
  <c r="HM45" i="20"/>
  <c r="HN45" i="20"/>
  <c r="HO45" i="20"/>
  <c r="HP45" i="20"/>
  <c r="HQ45" i="20"/>
  <c r="HR45" i="20"/>
  <c r="HS45" i="20"/>
  <c r="HT45" i="20"/>
  <c r="HU45" i="20"/>
  <c r="HV45" i="20"/>
  <c r="HW45" i="20"/>
  <c r="HX45" i="20"/>
  <c r="HY45" i="20"/>
  <c r="HZ45" i="20"/>
  <c r="IA45" i="20"/>
  <c r="IB45" i="20"/>
  <c r="IC45" i="20"/>
  <c r="ID45" i="20"/>
  <c r="IE45" i="20"/>
  <c r="IF45" i="20"/>
  <c r="IG45" i="20"/>
  <c r="IH45" i="20"/>
  <c r="II45" i="20"/>
  <c r="IJ45" i="20"/>
  <c r="IK45" i="20"/>
  <c r="IL45" i="20"/>
  <c r="IM45" i="20"/>
  <c r="IN45" i="20"/>
  <c r="IO45" i="20"/>
  <c r="IP45" i="20"/>
  <c r="IQ45" i="20"/>
  <c r="IR45" i="20"/>
  <c r="IS45" i="20"/>
  <c r="IT45" i="20"/>
  <c r="IU45" i="20"/>
  <c r="IV45" i="20"/>
  <c r="A44" i="20"/>
  <c r="B44"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G44" i="20"/>
  <c r="AH44" i="20"/>
  <c r="AI44" i="20"/>
  <c r="AJ44" i="20"/>
  <c r="AK44" i="20"/>
  <c r="AL44" i="20"/>
  <c r="AM44" i="20"/>
  <c r="AN44" i="20"/>
  <c r="AO44" i="20"/>
  <c r="AP44" i="20"/>
  <c r="AQ44" i="20"/>
  <c r="AR44" i="20"/>
  <c r="AS44" i="20"/>
  <c r="AT44" i="20"/>
  <c r="AU44" i="20"/>
  <c r="AV44" i="20"/>
  <c r="AW44" i="20"/>
  <c r="AX44" i="20"/>
  <c r="AY44" i="20"/>
  <c r="AZ44" i="20"/>
  <c r="BA44" i="20"/>
  <c r="BB44" i="20"/>
  <c r="BC44" i="20"/>
  <c r="BD44" i="20"/>
  <c r="BE44" i="20"/>
  <c r="BF44" i="20"/>
  <c r="BG44" i="20"/>
  <c r="BH44" i="20"/>
  <c r="BI44" i="20"/>
  <c r="BJ44" i="20"/>
  <c r="BK44" i="20"/>
  <c r="BL44" i="20"/>
  <c r="BM44" i="20"/>
  <c r="BN44" i="20"/>
  <c r="BO44" i="20"/>
  <c r="BP44" i="20"/>
  <c r="BQ44" i="20"/>
  <c r="BR44" i="20"/>
  <c r="BS44" i="20"/>
  <c r="BT44" i="20"/>
  <c r="BU44" i="20"/>
  <c r="BV44" i="20"/>
  <c r="BW44" i="20"/>
  <c r="BX44" i="20"/>
  <c r="BY44" i="20"/>
  <c r="BZ44" i="20"/>
  <c r="CA44" i="20"/>
  <c r="CB44" i="20"/>
  <c r="CC44" i="20"/>
  <c r="CD44" i="20"/>
  <c r="CE44" i="20"/>
  <c r="CF44" i="20"/>
  <c r="CG44" i="20"/>
  <c r="CH44" i="20"/>
  <c r="CI44" i="20"/>
  <c r="CJ44" i="20"/>
  <c r="CK44" i="20"/>
  <c r="CL44" i="20"/>
  <c r="CM44" i="20"/>
  <c r="CN44" i="20"/>
  <c r="CO44" i="20"/>
  <c r="CP44" i="20"/>
  <c r="CQ44" i="20"/>
  <c r="CR44" i="20"/>
  <c r="CS44" i="20"/>
  <c r="CT44" i="20"/>
  <c r="CU44" i="20"/>
  <c r="CV44" i="20"/>
  <c r="CW44" i="20"/>
  <c r="CX44" i="20"/>
  <c r="CY44" i="20"/>
  <c r="CZ44" i="20"/>
  <c r="DA44" i="20"/>
  <c r="DB44" i="20"/>
  <c r="DC44" i="20"/>
  <c r="DD44" i="20"/>
  <c r="DE44" i="20"/>
  <c r="DF44" i="20"/>
  <c r="DG44" i="20"/>
  <c r="DH44" i="20"/>
  <c r="DI44" i="20"/>
  <c r="DJ44" i="20"/>
  <c r="DK44" i="20"/>
  <c r="DL44" i="20"/>
  <c r="DM44" i="20"/>
  <c r="DN44" i="20"/>
  <c r="DO44" i="20"/>
  <c r="DP44" i="20"/>
  <c r="DQ44" i="20"/>
  <c r="DR44" i="20"/>
  <c r="DS44" i="20"/>
  <c r="DT44" i="20"/>
  <c r="DU44" i="20"/>
  <c r="DV44" i="20"/>
  <c r="DW44" i="20"/>
  <c r="DX44" i="20"/>
  <c r="DY44" i="20"/>
  <c r="DZ44" i="20"/>
  <c r="EA44" i="20"/>
  <c r="EB44" i="20"/>
  <c r="EC44" i="20"/>
  <c r="ED44" i="20"/>
  <c r="EE44" i="20"/>
  <c r="EF44" i="20"/>
  <c r="EG44" i="20"/>
  <c r="EH44" i="20"/>
  <c r="EI44" i="20"/>
  <c r="EJ44" i="20"/>
  <c r="EK44" i="20"/>
  <c r="EL44" i="20"/>
  <c r="EM44" i="20"/>
  <c r="EN44" i="20"/>
  <c r="EO44" i="20"/>
  <c r="EP44" i="20"/>
  <c r="EQ44" i="20"/>
  <c r="ER44" i="20"/>
  <c r="ES44" i="20"/>
  <c r="ET44" i="20"/>
  <c r="EU44" i="20"/>
  <c r="EV44" i="20"/>
  <c r="EW44" i="20"/>
  <c r="EX44" i="20"/>
  <c r="EY44" i="20"/>
  <c r="EZ44" i="20"/>
  <c r="FA44" i="20"/>
  <c r="FB44" i="20"/>
  <c r="FC44" i="20"/>
  <c r="FD44" i="20"/>
  <c r="FE44" i="20"/>
  <c r="FF44" i="20"/>
  <c r="FG44" i="20"/>
  <c r="FH44" i="20"/>
  <c r="FI44" i="20"/>
  <c r="FJ44" i="20"/>
  <c r="FK44" i="20"/>
  <c r="FL44" i="20"/>
  <c r="FM44" i="20"/>
  <c r="FN44" i="20"/>
  <c r="FO44" i="20"/>
  <c r="FP44" i="20"/>
  <c r="FQ44" i="20"/>
  <c r="FR44" i="20"/>
  <c r="FS44" i="20"/>
  <c r="FT44" i="20"/>
  <c r="FU44" i="20"/>
  <c r="FV44" i="20"/>
  <c r="FW44" i="20"/>
  <c r="FX44" i="20"/>
  <c r="FY44" i="20"/>
  <c r="FZ44" i="20"/>
  <c r="GA44" i="20"/>
  <c r="GB44" i="20"/>
  <c r="GC44" i="20"/>
  <c r="GD44" i="20"/>
  <c r="GE44" i="20"/>
  <c r="GF44" i="20"/>
  <c r="GG44" i="20"/>
  <c r="GH44" i="20"/>
  <c r="GI44" i="20"/>
  <c r="GJ44" i="20"/>
  <c r="GK44" i="20"/>
  <c r="GL44" i="20"/>
  <c r="GM44" i="20"/>
  <c r="GN44" i="20"/>
  <c r="GO44" i="20"/>
  <c r="GP44" i="20"/>
  <c r="GQ44" i="20"/>
  <c r="GR44" i="20"/>
  <c r="GS44" i="20"/>
  <c r="GT44" i="20"/>
  <c r="GU44" i="20"/>
  <c r="GV44" i="20"/>
  <c r="GW44" i="20"/>
  <c r="GX44" i="20"/>
  <c r="GY44" i="20"/>
  <c r="GZ44" i="20"/>
  <c r="HA44" i="20"/>
  <c r="HB44" i="20"/>
  <c r="HC44" i="20"/>
  <c r="HD44" i="20"/>
  <c r="HE44" i="20"/>
  <c r="HF44" i="20"/>
  <c r="HG44" i="20"/>
  <c r="HH44" i="20"/>
  <c r="HI44" i="20"/>
  <c r="HJ44" i="20"/>
  <c r="HK44" i="20"/>
  <c r="HL44" i="20"/>
  <c r="HM44" i="20"/>
  <c r="HN44" i="20"/>
  <c r="HO44" i="20"/>
  <c r="HP44" i="20"/>
  <c r="HQ44" i="20"/>
  <c r="HR44" i="20"/>
  <c r="HS44" i="20"/>
  <c r="HT44" i="20"/>
  <c r="HU44" i="20"/>
  <c r="HV44" i="20"/>
  <c r="HW44" i="20"/>
  <c r="HX44" i="20"/>
  <c r="HY44" i="20"/>
  <c r="HZ44" i="20"/>
  <c r="IA44" i="20"/>
  <c r="IB44" i="20"/>
  <c r="IC44" i="20"/>
  <c r="ID44" i="20"/>
  <c r="IE44" i="20"/>
  <c r="IF44" i="20"/>
  <c r="IG44" i="20"/>
  <c r="IH44" i="20"/>
  <c r="II44" i="20"/>
  <c r="IJ44" i="20"/>
  <c r="IK44" i="20"/>
  <c r="IL44" i="20"/>
  <c r="IM44" i="20"/>
  <c r="IN44" i="20"/>
  <c r="IO44" i="20"/>
  <c r="IP44" i="20"/>
  <c r="IQ44" i="20"/>
  <c r="IR44" i="20"/>
  <c r="IS44" i="20"/>
  <c r="IT44" i="20"/>
  <c r="IU44" i="20"/>
  <c r="IV44" i="20"/>
  <c r="A43"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G43" i="20"/>
  <c r="AH43" i="20"/>
  <c r="AI43" i="20"/>
  <c r="AJ43" i="20"/>
  <c r="AK43" i="20"/>
  <c r="AL43" i="20"/>
  <c r="AM43" i="20"/>
  <c r="AN43" i="20"/>
  <c r="AO43" i="20"/>
  <c r="AP43" i="20"/>
  <c r="AQ43" i="20"/>
  <c r="AR43" i="20"/>
  <c r="AS43" i="20"/>
  <c r="AT43" i="20"/>
  <c r="AU43" i="20"/>
  <c r="AV43" i="20"/>
  <c r="AW43" i="20"/>
  <c r="AX43" i="20"/>
  <c r="AY43" i="20"/>
  <c r="AZ43" i="20"/>
  <c r="BA43" i="20"/>
  <c r="BB43" i="20"/>
  <c r="BC43" i="20"/>
  <c r="BD43" i="20"/>
  <c r="BE43" i="20"/>
  <c r="BF43" i="20"/>
  <c r="BG43" i="20"/>
  <c r="BH43" i="20"/>
  <c r="BI43" i="20"/>
  <c r="BJ43" i="20"/>
  <c r="BK43" i="20"/>
  <c r="BL43" i="20"/>
  <c r="BM43" i="20"/>
  <c r="BN43" i="20"/>
  <c r="BO43" i="20"/>
  <c r="BP43" i="20"/>
  <c r="BQ43" i="20"/>
  <c r="BR43" i="20"/>
  <c r="BS43" i="20"/>
  <c r="BT43" i="20"/>
  <c r="BU43" i="20"/>
  <c r="BV43" i="20"/>
  <c r="BW43" i="20"/>
  <c r="BX43" i="20"/>
  <c r="BY43" i="20"/>
  <c r="BZ43" i="20"/>
  <c r="CA43" i="20"/>
  <c r="CB43" i="20"/>
  <c r="CC43" i="20"/>
  <c r="CD43" i="20"/>
  <c r="CE43" i="20"/>
  <c r="CF43" i="20"/>
  <c r="CG43" i="20"/>
  <c r="CH43" i="20"/>
  <c r="CI43" i="20"/>
  <c r="CJ43" i="20"/>
  <c r="CK43" i="20"/>
  <c r="CL43" i="20"/>
  <c r="CM43" i="20"/>
  <c r="CN43" i="20"/>
  <c r="CO43" i="20"/>
  <c r="CP43" i="20"/>
  <c r="CQ43" i="20"/>
  <c r="CR43" i="20"/>
  <c r="CS43" i="20"/>
  <c r="CT43" i="20"/>
  <c r="CU43" i="20"/>
  <c r="CV43" i="20"/>
  <c r="CW43" i="20"/>
  <c r="CX43" i="20"/>
  <c r="CY43" i="20"/>
  <c r="CZ43" i="20"/>
  <c r="DA43" i="20"/>
  <c r="DB43" i="20"/>
  <c r="DC43" i="20"/>
  <c r="DD43" i="20"/>
  <c r="DE43" i="20"/>
  <c r="DF43" i="20"/>
  <c r="DG43" i="20"/>
  <c r="DH43" i="20"/>
  <c r="DI43" i="20"/>
  <c r="DJ43" i="20"/>
  <c r="DK43" i="20"/>
  <c r="DL43" i="20"/>
  <c r="DM43" i="20"/>
  <c r="DN43" i="20"/>
  <c r="DO43" i="20"/>
  <c r="DP43" i="20"/>
  <c r="DQ43" i="20"/>
  <c r="DR43" i="20"/>
  <c r="DS43" i="20"/>
  <c r="DT43" i="20"/>
  <c r="DU43" i="20"/>
  <c r="DV43" i="20"/>
  <c r="DW43" i="20"/>
  <c r="DX43" i="20"/>
  <c r="DY43" i="20"/>
  <c r="DZ43" i="20"/>
  <c r="EA43" i="20"/>
  <c r="EB43" i="20"/>
  <c r="EC43" i="20"/>
  <c r="ED43" i="20"/>
  <c r="EE43" i="20"/>
  <c r="EF43" i="20"/>
  <c r="EG43" i="20"/>
  <c r="EH43" i="20"/>
  <c r="EI43" i="20"/>
  <c r="EJ43" i="20"/>
  <c r="EK43" i="20"/>
  <c r="EL43" i="20"/>
  <c r="EM43" i="20"/>
  <c r="EN43" i="20"/>
  <c r="EO43" i="20"/>
  <c r="EP43" i="20"/>
  <c r="EQ43" i="20"/>
  <c r="ER43" i="20"/>
  <c r="ES43" i="20"/>
  <c r="ET43" i="20"/>
  <c r="EU43" i="20"/>
  <c r="EV43" i="20"/>
  <c r="EW43" i="20"/>
  <c r="EX43" i="20"/>
  <c r="EY43" i="20"/>
  <c r="EZ43" i="20"/>
  <c r="FA43" i="20"/>
  <c r="FB43" i="20"/>
  <c r="FC43" i="20"/>
  <c r="FD43" i="20"/>
  <c r="FE43" i="20"/>
  <c r="FF43" i="20"/>
  <c r="FG43" i="20"/>
  <c r="FH43" i="20"/>
  <c r="FI43" i="20"/>
  <c r="FJ43" i="20"/>
  <c r="FK43" i="20"/>
  <c r="FL43" i="20"/>
  <c r="FM43" i="20"/>
  <c r="FN43" i="20"/>
  <c r="FO43" i="20"/>
  <c r="FP43" i="20"/>
  <c r="FQ43" i="20"/>
  <c r="FR43" i="20"/>
  <c r="FS43" i="20"/>
  <c r="FT43" i="20"/>
  <c r="FU43" i="20"/>
  <c r="FV43" i="20"/>
  <c r="FW43" i="20"/>
  <c r="FX43" i="20"/>
  <c r="FY43" i="20"/>
  <c r="FZ43" i="20"/>
  <c r="GA43" i="20"/>
  <c r="GB43" i="20"/>
  <c r="GC43" i="20"/>
  <c r="GD43" i="20"/>
  <c r="GE43" i="20"/>
  <c r="GF43" i="20"/>
  <c r="GG43" i="20"/>
  <c r="GH43" i="20"/>
  <c r="GI43" i="20"/>
  <c r="GJ43" i="20"/>
  <c r="GK43" i="20"/>
  <c r="GL43" i="20"/>
  <c r="GM43" i="20"/>
  <c r="GN43" i="20"/>
  <c r="GO43" i="20"/>
  <c r="GP43" i="20"/>
  <c r="GQ43" i="20"/>
  <c r="GR43" i="20"/>
  <c r="GS43" i="20"/>
  <c r="GT43" i="20"/>
  <c r="GU43" i="20"/>
  <c r="GV43" i="20"/>
  <c r="GW43" i="20"/>
  <c r="GX43" i="20"/>
  <c r="GY43" i="20"/>
  <c r="GZ43" i="20"/>
  <c r="HA43" i="20"/>
  <c r="HB43" i="20"/>
  <c r="HC43" i="20"/>
  <c r="HD43" i="20"/>
  <c r="HE43" i="20"/>
  <c r="HF43" i="20"/>
  <c r="HG43" i="20"/>
  <c r="HH43" i="20"/>
  <c r="HI43" i="20"/>
  <c r="HJ43" i="20"/>
  <c r="HK43" i="20"/>
  <c r="HL43" i="20"/>
  <c r="HM43" i="20"/>
  <c r="HN43" i="20"/>
  <c r="HO43" i="20"/>
  <c r="HP43" i="20"/>
  <c r="HQ43" i="20"/>
  <c r="HR43" i="20"/>
  <c r="HS43" i="20"/>
  <c r="HT43" i="20"/>
  <c r="HU43" i="20"/>
  <c r="HV43" i="20"/>
  <c r="HW43" i="20"/>
  <c r="HX43" i="20"/>
  <c r="HY43" i="20"/>
  <c r="HZ43" i="20"/>
  <c r="IA43" i="20"/>
  <c r="IB43" i="20"/>
  <c r="IC43" i="20"/>
  <c r="ID43" i="20"/>
  <c r="IE43" i="20"/>
  <c r="IF43" i="20"/>
  <c r="IG43" i="20"/>
  <c r="IH43" i="20"/>
  <c r="II43" i="20"/>
  <c r="IJ43" i="20"/>
  <c r="IK43" i="20"/>
  <c r="IL43" i="20"/>
  <c r="IM43" i="20"/>
  <c r="IN43" i="20"/>
  <c r="IO43" i="20"/>
  <c r="IP43" i="20"/>
  <c r="IQ43" i="20"/>
  <c r="IR43" i="20"/>
  <c r="IS43" i="20"/>
  <c r="IT43" i="20"/>
  <c r="IU43" i="20"/>
  <c r="IV43" i="20"/>
  <c r="A42"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G42" i="20"/>
  <c r="AH42" i="20"/>
  <c r="AI42" i="20"/>
  <c r="AJ42" i="20"/>
  <c r="AK42" i="20"/>
  <c r="AL42" i="20"/>
  <c r="AM42" i="20"/>
  <c r="AN42" i="20"/>
  <c r="AO42" i="20"/>
  <c r="AP42" i="20"/>
  <c r="AQ42" i="20"/>
  <c r="AR42" i="20"/>
  <c r="AS42" i="20"/>
  <c r="AT42" i="20"/>
  <c r="AU42" i="20"/>
  <c r="AV42" i="20"/>
  <c r="AW42" i="20"/>
  <c r="AX42" i="20"/>
  <c r="AY42" i="20"/>
  <c r="AZ42" i="20"/>
  <c r="BA42" i="20"/>
  <c r="BB42" i="20"/>
  <c r="BC42" i="20"/>
  <c r="BD42" i="20"/>
  <c r="BE42" i="20"/>
  <c r="BF42" i="20"/>
  <c r="BG42" i="20"/>
  <c r="BH42" i="20"/>
  <c r="BI42" i="20"/>
  <c r="BJ42" i="20"/>
  <c r="BK42" i="20"/>
  <c r="BL42" i="20"/>
  <c r="BM42" i="20"/>
  <c r="BN42" i="20"/>
  <c r="BO42" i="20"/>
  <c r="BP42" i="20"/>
  <c r="BQ42" i="20"/>
  <c r="BR42" i="20"/>
  <c r="BS42" i="20"/>
  <c r="BT42" i="20"/>
  <c r="BU42" i="20"/>
  <c r="BV42" i="20"/>
  <c r="BW42" i="20"/>
  <c r="BX42" i="20"/>
  <c r="BY42" i="20"/>
  <c r="BZ42" i="20"/>
  <c r="CA42" i="20"/>
  <c r="CB42" i="20"/>
  <c r="CC42" i="20"/>
  <c r="CD42" i="20"/>
  <c r="CE42" i="20"/>
  <c r="CF42" i="20"/>
  <c r="CG42" i="20"/>
  <c r="CH42" i="20"/>
  <c r="CI42" i="20"/>
  <c r="CJ42" i="20"/>
  <c r="CK42" i="20"/>
  <c r="CL42" i="20"/>
  <c r="CM42" i="20"/>
  <c r="CN42" i="20"/>
  <c r="CO42" i="20"/>
  <c r="CP42" i="20"/>
  <c r="CQ42" i="20"/>
  <c r="CR42" i="20"/>
  <c r="CS42" i="20"/>
  <c r="CT42" i="20"/>
  <c r="CU42" i="20"/>
  <c r="CV42" i="20"/>
  <c r="CW42" i="20"/>
  <c r="CX42" i="20"/>
  <c r="CY42" i="20"/>
  <c r="CZ42" i="20"/>
  <c r="DA42" i="20"/>
  <c r="DB42" i="20"/>
  <c r="DC42" i="20"/>
  <c r="DD42" i="20"/>
  <c r="DE42" i="20"/>
  <c r="DF42" i="20"/>
  <c r="DG42" i="20"/>
  <c r="DH42" i="20"/>
  <c r="DI42" i="20"/>
  <c r="DJ42" i="20"/>
  <c r="DK42" i="20"/>
  <c r="DL42" i="20"/>
  <c r="DM42" i="20"/>
  <c r="DN42" i="20"/>
  <c r="DO42" i="20"/>
  <c r="DP42" i="20"/>
  <c r="DQ42" i="20"/>
  <c r="DR42" i="20"/>
  <c r="DS42" i="20"/>
  <c r="DT42" i="20"/>
  <c r="DU42" i="20"/>
  <c r="DV42" i="20"/>
  <c r="DW42" i="20"/>
  <c r="DX42" i="20"/>
  <c r="DY42" i="20"/>
  <c r="DZ42" i="20"/>
  <c r="EA42" i="20"/>
  <c r="EB42" i="20"/>
  <c r="EC42" i="20"/>
  <c r="ED42" i="20"/>
  <c r="EE42" i="20"/>
  <c r="EF42" i="20"/>
  <c r="EG42" i="20"/>
  <c r="EH42" i="20"/>
  <c r="EI42" i="20"/>
  <c r="EJ42" i="20"/>
  <c r="EK42" i="20"/>
  <c r="EL42" i="20"/>
  <c r="EM42" i="20"/>
  <c r="EN42" i="20"/>
  <c r="EO42" i="20"/>
  <c r="EP42" i="20"/>
  <c r="EQ42" i="20"/>
  <c r="ER42" i="20"/>
  <c r="ES42" i="20"/>
  <c r="ET42" i="20"/>
  <c r="EU42" i="20"/>
  <c r="EV42" i="20"/>
  <c r="EW42" i="20"/>
  <c r="EX42" i="20"/>
  <c r="EY42" i="20"/>
  <c r="EZ42" i="20"/>
  <c r="FA42" i="20"/>
  <c r="FB42" i="20"/>
  <c r="FC42" i="20"/>
  <c r="FD42" i="20"/>
  <c r="FE42" i="20"/>
  <c r="FF42" i="20"/>
  <c r="FG42" i="20"/>
  <c r="FH42" i="20"/>
  <c r="FI42" i="20"/>
  <c r="FJ42" i="20"/>
  <c r="FK42" i="20"/>
  <c r="FL42" i="20"/>
  <c r="FM42" i="20"/>
  <c r="FN42" i="20"/>
  <c r="FO42" i="20"/>
  <c r="FP42" i="20"/>
  <c r="FQ42" i="20"/>
  <c r="FR42" i="20"/>
  <c r="FS42" i="20"/>
  <c r="FT42" i="20"/>
  <c r="FU42" i="20"/>
  <c r="FV42" i="20"/>
  <c r="FW42" i="20"/>
  <c r="FX42" i="20"/>
  <c r="FY42" i="20"/>
  <c r="FZ42" i="20"/>
  <c r="GA42" i="20"/>
  <c r="GB42" i="20"/>
  <c r="GC42" i="20"/>
  <c r="GD42" i="20"/>
  <c r="GE42" i="20"/>
  <c r="GF42" i="20"/>
  <c r="GG42" i="20"/>
  <c r="GH42" i="20"/>
  <c r="GI42" i="20"/>
  <c r="GJ42" i="20"/>
  <c r="GK42" i="20"/>
  <c r="GL42" i="20"/>
  <c r="GM42" i="20"/>
  <c r="GN42" i="20"/>
  <c r="GO42" i="20"/>
  <c r="GP42" i="20"/>
  <c r="GQ42" i="20"/>
  <c r="GR42" i="20"/>
  <c r="GS42" i="20"/>
  <c r="GT42" i="20"/>
  <c r="GU42" i="20"/>
  <c r="GV42" i="20"/>
  <c r="GW42" i="20"/>
  <c r="GX42" i="20"/>
  <c r="GY42" i="20"/>
  <c r="GZ42" i="20"/>
  <c r="HA42" i="20"/>
  <c r="HB42" i="20"/>
  <c r="HC42" i="20"/>
  <c r="HD42" i="20"/>
  <c r="HE42" i="20"/>
  <c r="HF42" i="20"/>
  <c r="HG42" i="20"/>
  <c r="HH42" i="20"/>
  <c r="HI42" i="20"/>
  <c r="HJ42" i="20"/>
  <c r="HK42" i="20"/>
  <c r="HL42" i="20"/>
  <c r="HM42" i="20"/>
  <c r="HN42" i="20"/>
  <c r="HO42" i="20"/>
  <c r="HP42" i="20"/>
  <c r="HX42" i="20"/>
  <c r="HY42" i="20"/>
  <c r="HZ42" i="20"/>
  <c r="IA42" i="20"/>
  <c r="IB42" i="20"/>
  <c r="IC42" i="20"/>
  <c r="ID42" i="20"/>
  <c r="IE42" i="20"/>
  <c r="IF42" i="20"/>
  <c r="IG42" i="20"/>
  <c r="IH42" i="20"/>
  <c r="II42" i="20"/>
  <c r="IJ42" i="20"/>
  <c r="IK42" i="20"/>
  <c r="IL42" i="20"/>
  <c r="IM42" i="20"/>
  <c r="IN42" i="20"/>
  <c r="IO42" i="20"/>
  <c r="IP42" i="20"/>
  <c r="IQ42" i="20"/>
  <c r="IR42" i="20"/>
  <c r="IS42" i="20"/>
  <c r="IT42" i="20"/>
  <c r="IU42" i="20"/>
  <c r="IV42" i="20"/>
  <c r="A41"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G41" i="20"/>
  <c r="AH41" i="20"/>
  <c r="AI41" i="20"/>
  <c r="AJ41" i="20"/>
  <c r="AK41" i="20"/>
  <c r="AL41" i="20"/>
  <c r="AM41" i="20"/>
  <c r="AN41" i="20"/>
  <c r="AO41" i="20"/>
  <c r="AP41" i="20"/>
  <c r="AQ41" i="20"/>
  <c r="AR41" i="20"/>
  <c r="AS41" i="20"/>
  <c r="AT41" i="20"/>
  <c r="AU41" i="20"/>
  <c r="AV41" i="20"/>
  <c r="AW41" i="20"/>
  <c r="AX41" i="20"/>
  <c r="AY41" i="20"/>
  <c r="AZ41" i="20"/>
  <c r="BA41" i="20"/>
  <c r="BB41" i="20"/>
  <c r="BC41" i="20"/>
  <c r="BD41" i="20"/>
  <c r="BE41" i="20"/>
  <c r="BF41" i="20"/>
  <c r="BG41" i="20"/>
  <c r="BH41" i="20"/>
  <c r="BI41" i="20"/>
  <c r="BJ41" i="20"/>
  <c r="BK41" i="20"/>
  <c r="BL41" i="20"/>
  <c r="BM41" i="20"/>
  <c r="BN41" i="20"/>
  <c r="BO41" i="20"/>
  <c r="BP41" i="20"/>
  <c r="BQ41" i="20"/>
  <c r="BR41" i="20"/>
  <c r="BS41" i="20"/>
  <c r="BT41" i="20"/>
  <c r="BU41" i="20"/>
  <c r="BV41" i="20"/>
  <c r="BW41" i="20"/>
  <c r="BX41" i="20"/>
  <c r="BY41" i="20"/>
  <c r="BZ41" i="20"/>
  <c r="CA41" i="20"/>
  <c r="CB41" i="20"/>
  <c r="CC41" i="20"/>
  <c r="CD41" i="20"/>
  <c r="CE41" i="20"/>
  <c r="CF41" i="20"/>
  <c r="CG41" i="20"/>
  <c r="CH41" i="20"/>
  <c r="CI41" i="20"/>
  <c r="CJ41" i="20"/>
  <c r="CK41" i="20"/>
  <c r="CL41" i="20"/>
  <c r="CM41" i="20"/>
  <c r="CN41" i="20"/>
  <c r="CO41" i="20"/>
  <c r="CP41" i="20"/>
  <c r="CQ41" i="20"/>
  <c r="CR41" i="20"/>
  <c r="CS41" i="20"/>
  <c r="CT41" i="20"/>
  <c r="CU41" i="20"/>
  <c r="CV41" i="20"/>
  <c r="CW41" i="20"/>
  <c r="CX41" i="20"/>
  <c r="CY41" i="20"/>
  <c r="CZ41" i="20"/>
  <c r="DA41" i="20"/>
  <c r="DB41" i="20"/>
  <c r="DC41" i="20"/>
  <c r="DD41" i="20"/>
  <c r="DE41" i="20"/>
  <c r="DF41" i="20"/>
  <c r="DG41" i="20"/>
  <c r="DH41" i="20"/>
  <c r="DI41" i="20"/>
  <c r="DJ41" i="20"/>
  <c r="DK41" i="20"/>
  <c r="DL41" i="20"/>
  <c r="DM41" i="20"/>
  <c r="DN41" i="20"/>
  <c r="DO41" i="20"/>
  <c r="DP41" i="20"/>
  <c r="DQ41" i="20"/>
  <c r="DR41" i="20"/>
  <c r="DS41" i="20"/>
  <c r="DT41" i="20"/>
  <c r="DU41" i="20"/>
  <c r="DV41" i="20"/>
  <c r="DW41" i="20"/>
  <c r="DX41" i="20"/>
  <c r="DY41" i="20"/>
  <c r="DZ41" i="20"/>
  <c r="EA41" i="20"/>
  <c r="EB41" i="20"/>
  <c r="EC41" i="20"/>
  <c r="ED41" i="20"/>
  <c r="EE41" i="20"/>
  <c r="EF41" i="20"/>
  <c r="EG41" i="20"/>
  <c r="EH41" i="20"/>
  <c r="EI41" i="20"/>
  <c r="EJ41" i="20"/>
  <c r="EK41" i="20"/>
  <c r="EL41" i="20"/>
  <c r="EM41" i="20"/>
  <c r="EN41" i="20"/>
  <c r="EO41" i="20"/>
  <c r="EP41" i="20"/>
  <c r="EQ41" i="20"/>
  <c r="ER41" i="20"/>
  <c r="ES41" i="20"/>
  <c r="ET41" i="20"/>
  <c r="EU41" i="20"/>
  <c r="EV41" i="20"/>
  <c r="EW41" i="20"/>
  <c r="EX41" i="20"/>
  <c r="EY41" i="20"/>
  <c r="EZ41" i="20"/>
  <c r="FA41" i="20"/>
  <c r="FB41" i="20"/>
  <c r="FC41" i="20"/>
  <c r="FD41" i="20"/>
  <c r="FE41" i="20"/>
  <c r="FF41" i="20"/>
  <c r="FG41" i="20"/>
  <c r="FH41" i="20"/>
  <c r="FI41" i="20"/>
  <c r="FJ41" i="20"/>
  <c r="FK41" i="20"/>
  <c r="FL41" i="20"/>
  <c r="FM41" i="20"/>
  <c r="FN41" i="20"/>
  <c r="FO41" i="20"/>
  <c r="FP41" i="20"/>
  <c r="FQ41" i="20"/>
  <c r="FR41" i="20"/>
  <c r="FS41" i="20"/>
  <c r="FT41" i="20"/>
  <c r="FU41" i="20"/>
  <c r="FV41" i="20"/>
  <c r="FW41" i="20"/>
  <c r="FX41" i="20"/>
  <c r="FY41" i="20"/>
  <c r="FZ41" i="20"/>
  <c r="GA41" i="20"/>
  <c r="GB41" i="20"/>
  <c r="GC41" i="20"/>
  <c r="GD41" i="20"/>
  <c r="GE41" i="20"/>
  <c r="GF41" i="20"/>
  <c r="GG41" i="20"/>
  <c r="GH41" i="20"/>
  <c r="GI41" i="20"/>
  <c r="GJ41" i="20"/>
  <c r="GK41" i="20"/>
  <c r="GL41" i="20"/>
  <c r="GM41" i="20"/>
  <c r="GN41" i="20"/>
  <c r="GO41" i="20"/>
  <c r="GP41" i="20"/>
  <c r="GQ41" i="20"/>
  <c r="GR41" i="20"/>
  <c r="GS41" i="20"/>
  <c r="GT41" i="20"/>
  <c r="GU41" i="20"/>
  <c r="GV41" i="20"/>
  <c r="GW41" i="20"/>
  <c r="GX41" i="20"/>
  <c r="GY41" i="20"/>
  <c r="GZ41" i="20"/>
  <c r="HA41" i="20"/>
  <c r="HB41" i="20"/>
  <c r="HC41" i="20"/>
  <c r="HD41" i="20"/>
  <c r="HE41" i="20"/>
  <c r="HF41" i="20"/>
  <c r="HG41" i="20"/>
  <c r="HH41" i="20"/>
  <c r="HI41" i="20"/>
  <c r="HJ41" i="20"/>
  <c r="HK41" i="20"/>
  <c r="HL41" i="20"/>
  <c r="HM41" i="20"/>
  <c r="HN41" i="20"/>
  <c r="HO41" i="20"/>
  <c r="HP41" i="20"/>
  <c r="HQ41" i="20"/>
  <c r="HR41" i="20"/>
  <c r="HS41" i="20"/>
  <c r="HT41" i="20"/>
  <c r="HU41" i="20"/>
  <c r="HV41" i="20"/>
  <c r="HW41" i="20"/>
  <c r="HX41" i="20"/>
  <c r="HY41" i="20"/>
  <c r="HZ41" i="20"/>
  <c r="IA41" i="20"/>
  <c r="IB41" i="20"/>
  <c r="IC41" i="20"/>
  <c r="ID41" i="20"/>
  <c r="IE41" i="20"/>
  <c r="IF41" i="20"/>
  <c r="IG41" i="20"/>
  <c r="IH41" i="20"/>
  <c r="II41" i="20"/>
  <c r="IJ41" i="20"/>
  <c r="IK41" i="20"/>
  <c r="IL41" i="20"/>
  <c r="IM41" i="20"/>
  <c r="IN41" i="20"/>
  <c r="IO41" i="20"/>
  <c r="IP41" i="20"/>
  <c r="IQ41" i="20"/>
  <c r="IR41" i="20"/>
  <c r="IS41" i="20"/>
  <c r="IT41" i="20"/>
  <c r="IU41" i="20"/>
  <c r="IV41" i="20"/>
  <c r="A40" i="20"/>
  <c r="B40" i="20"/>
  <c r="C40" i="20"/>
  <c r="D40" i="20"/>
  <c r="E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G40" i="20"/>
  <c r="AH40" i="20"/>
  <c r="AI40" i="20"/>
  <c r="AJ40" i="20"/>
  <c r="AK40" i="20"/>
  <c r="AL40" i="20"/>
  <c r="AM40" i="20"/>
  <c r="AN40" i="20"/>
  <c r="AO40" i="20"/>
  <c r="AP40" i="20"/>
  <c r="AQ40" i="20"/>
  <c r="AR40" i="20"/>
  <c r="AS40" i="20"/>
  <c r="AT40" i="20"/>
  <c r="AU40" i="20"/>
  <c r="AV40" i="20"/>
  <c r="AW40" i="20"/>
  <c r="AX40" i="20"/>
  <c r="AY40" i="20"/>
  <c r="AZ40" i="20"/>
  <c r="BA40" i="20"/>
  <c r="BB40" i="20"/>
  <c r="BC40" i="20"/>
  <c r="BD40" i="20"/>
  <c r="BE40" i="20"/>
  <c r="BF40" i="20"/>
  <c r="BG40" i="20"/>
  <c r="BH40" i="20"/>
  <c r="BI40" i="20"/>
  <c r="BJ40" i="20"/>
  <c r="BK40" i="20"/>
  <c r="BL40" i="20"/>
  <c r="BM40" i="20"/>
  <c r="BN40" i="20"/>
  <c r="BO40" i="20"/>
  <c r="BP40" i="20"/>
  <c r="BQ40" i="20"/>
  <c r="BR40" i="20"/>
  <c r="BS40" i="20"/>
  <c r="BT40" i="20"/>
  <c r="BU40" i="20"/>
  <c r="BV40" i="20"/>
  <c r="BW40" i="20"/>
  <c r="BX40" i="20"/>
  <c r="BY40" i="20"/>
  <c r="BZ40" i="20"/>
  <c r="CA40" i="20"/>
  <c r="CB40" i="20"/>
  <c r="CC40" i="20"/>
  <c r="CD40" i="20"/>
  <c r="CE40" i="20"/>
  <c r="CF40" i="20"/>
  <c r="CG40" i="20"/>
  <c r="CH40" i="20"/>
  <c r="CI40" i="20"/>
  <c r="CJ40" i="20"/>
  <c r="CK40" i="20"/>
  <c r="CL40" i="20"/>
  <c r="CM40" i="20"/>
  <c r="CN40" i="20"/>
  <c r="CO40" i="20"/>
  <c r="CP40" i="20"/>
  <c r="CQ40" i="20"/>
  <c r="CR40" i="20"/>
  <c r="CS40" i="20"/>
  <c r="CT40" i="20"/>
  <c r="CU40" i="20"/>
  <c r="CV40" i="20"/>
  <c r="CW40" i="20"/>
  <c r="CX40" i="20"/>
  <c r="CY40" i="20"/>
  <c r="CZ40" i="20"/>
  <c r="DA40" i="20"/>
  <c r="DB40" i="20"/>
  <c r="DC40" i="20"/>
  <c r="DD40" i="20"/>
  <c r="DE40" i="20"/>
  <c r="DF40" i="20"/>
  <c r="DG40" i="20"/>
  <c r="DH40" i="20"/>
  <c r="DI40" i="20"/>
  <c r="DJ40" i="20"/>
  <c r="DK40" i="20"/>
  <c r="DL40" i="20"/>
  <c r="DM40" i="20"/>
  <c r="DN40" i="20"/>
  <c r="DO40" i="20"/>
  <c r="DP40" i="20"/>
  <c r="DQ40" i="20"/>
  <c r="DR40" i="20"/>
  <c r="DS40" i="20"/>
  <c r="DT40" i="20"/>
  <c r="DU40" i="20"/>
  <c r="DV40" i="20"/>
  <c r="DW40" i="20"/>
  <c r="DX40" i="20"/>
  <c r="DY40" i="20"/>
  <c r="DZ40" i="20"/>
  <c r="EA40" i="20"/>
  <c r="EB40" i="20"/>
  <c r="EC40" i="20"/>
  <c r="ED40" i="20"/>
  <c r="EE40" i="20"/>
  <c r="EF40" i="20"/>
  <c r="EG40" i="20"/>
  <c r="EH40" i="20"/>
  <c r="EI40" i="20"/>
  <c r="EJ40" i="20"/>
  <c r="EK40" i="20"/>
  <c r="EL40" i="20"/>
  <c r="EM40" i="20"/>
  <c r="EN40" i="20"/>
  <c r="EO40" i="20"/>
  <c r="EP40" i="20"/>
  <c r="EQ40" i="20"/>
  <c r="ER40" i="20"/>
  <c r="ES40" i="20"/>
  <c r="ET40" i="20"/>
  <c r="EU40" i="20"/>
  <c r="EV40" i="20"/>
  <c r="EW40" i="20"/>
  <c r="EX40" i="20"/>
  <c r="EY40" i="20"/>
  <c r="EZ40" i="20"/>
  <c r="FA40" i="20"/>
  <c r="FB40" i="20"/>
  <c r="FC40" i="20"/>
  <c r="FD40" i="20"/>
  <c r="FE40" i="20"/>
  <c r="FF40" i="20"/>
  <c r="FG40" i="20"/>
  <c r="FH40" i="20"/>
  <c r="FI40" i="20"/>
  <c r="FJ40" i="20"/>
  <c r="FK40" i="20"/>
  <c r="FL40" i="20"/>
  <c r="FM40" i="20"/>
  <c r="FN40" i="20"/>
  <c r="FO40" i="20"/>
  <c r="FP40" i="20"/>
  <c r="FQ40" i="20"/>
  <c r="FR40" i="20"/>
  <c r="FS40" i="20"/>
  <c r="FT40" i="20"/>
  <c r="FU40" i="20"/>
  <c r="FV40" i="20"/>
  <c r="FW40" i="20"/>
  <c r="FX40" i="20"/>
  <c r="FY40" i="20"/>
  <c r="FZ40" i="20"/>
  <c r="GA40" i="20"/>
  <c r="GB40" i="20"/>
  <c r="GC40" i="20"/>
  <c r="GD40" i="20"/>
  <c r="GE40" i="20"/>
  <c r="GF40" i="20"/>
  <c r="GG40" i="20"/>
  <c r="GH40" i="20"/>
  <c r="GI40" i="20"/>
  <c r="GJ40" i="20"/>
  <c r="GK40" i="20"/>
  <c r="GL40" i="20"/>
  <c r="GM40" i="20"/>
  <c r="GN40" i="20"/>
  <c r="GO40" i="20"/>
  <c r="GP40" i="20"/>
  <c r="GQ40" i="20"/>
  <c r="GR40" i="20"/>
  <c r="GS40" i="20"/>
  <c r="GT40" i="20"/>
  <c r="GU40" i="20"/>
  <c r="GV40" i="20"/>
  <c r="GW40" i="20"/>
  <c r="GX40" i="20"/>
  <c r="GY40" i="20"/>
  <c r="GZ40" i="20"/>
  <c r="HA40" i="20"/>
  <c r="HB40" i="20"/>
  <c r="HC40" i="20"/>
  <c r="HD40" i="20"/>
  <c r="HE40" i="20"/>
  <c r="HF40" i="20"/>
  <c r="HG40" i="20"/>
  <c r="HH40" i="20"/>
  <c r="HI40" i="20"/>
  <c r="HJ40" i="20"/>
  <c r="HK40" i="20"/>
  <c r="HL40" i="20"/>
  <c r="HM40" i="20"/>
  <c r="HN40" i="20"/>
  <c r="HO40" i="20"/>
  <c r="HP40" i="20"/>
  <c r="HQ40" i="20"/>
  <c r="HR40" i="20"/>
  <c r="HS40" i="20"/>
  <c r="HT40" i="20"/>
  <c r="HU40" i="20"/>
  <c r="HV40" i="20"/>
  <c r="HW40" i="20"/>
  <c r="HX40" i="20"/>
  <c r="HY40" i="20"/>
  <c r="HZ40" i="20"/>
  <c r="IA40" i="20"/>
  <c r="IB40" i="20"/>
  <c r="IC40" i="20"/>
  <c r="ID40" i="20"/>
  <c r="IE40" i="20"/>
  <c r="IF40" i="20"/>
  <c r="IG40" i="20"/>
  <c r="IH40" i="20"/>
  <c r="II40" i="20"/>
  <c r="IJ40" i="20"/>
  <c r="IK40" i="20"/>
  <c r="IL40" i="20"/>
  <c r="IM40" i="20"/>
  <c r="IN40" i="20"/>
  <c r="IO40" i="20"/>
  <c r="IP40" i="20"/>
  <c r="IQ40" i="20"/>
  <c r="IR40" i="20"/>
  <c r="IS40" i="20"/>
  <c r="IT40" i="20"/>
  <c r="IU40" i="20"/>
  <c r="IV40" i="20"/>
  <c r="A39"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G39" i="20"/>
  <c r="AH39" i="20"/>
  <c r="AI39" i="20"/>
  <c r="AJ39" i="20"/>
  <c r="AK39" i="20"/>
  <c r="AL39" i="20"/>
  <c r="AM39" i="20"/>
  <c r="AN39" i="20"/>
  <c r="AO39" i="20"/>
  <c r="AP39" i="20"/>
  <c r="AQ39" i="20"/>
  <c r="AR39" i="20"/>
  <c r="AS39" i="20"/>
  <c r="AT39" i="20"/>
  <c r="AU39" i="20"/>
  <c r="AV39" i="20"/>
  <c r="AW39" i="20"/>
  <c r="AX39" i="20"/>
  <c r="AY39" i="20"/>
  <c r="AZ39" i="20"/>
  <c r="BA39" i="20"/>
  <c r="BB39" i="20"/>
  <c r="BC39" i="20"/>
  <c r="BD39" i="20"/>
  <c r="BE39" i="20"/>
  <c r="BF39" i="20"/>
  <c r="BG39" i="20"/>
  <c r="BH39" i="20"/>
  <c r="BI39" i="20"/>
  <c r="BJ39" i="20"/>
  <c r="BK39" i="20"/>
  <c r="BL39" i="20"/>
  <c r="BM39" i="20"/>
  <c r="BN39" i="20"/>
  <c r="BO39" i="20"/>
  <c r="BP39" i="20"/>
  <c r="BQ39" i="20"/>
  <c r="BR39" i="20"/>
  <c r="BS39" i="20"/>
  <c r="BT39" i="20"/>
  <c r="BU39" i="20"/>
  <c r="BV39" i="20"/>
  <c r="BW39" i="20"/>
  <c r="BX39" i="20"/>
  <c r="BY39" i="20"/>
  <c r="BZ39" i="20"/>
  <c r="CA39" i="20"/>
  <c r="CB39" i="20"/>
  <c r="CC39" i="20"/>
  <c r="CD39" i="20"/>
  <c r="CE39" i="20"/>
  <c r="CF39" i="20"/>
  <c r="CG39" i="20"/>
  <c r="CH39" i="20"/>
  <c r="CI39" i="20"/>
  <c r="CJ39" i="20"/>
  <c r="CK39" i="20"/>
  <c r="CL39" i="20"/>
  <c r="CM39" i="20"/>
  <c r="CN39" i="20"/>
  <c r="CO39" i="20"/>
  <c r="CP39" i="20"/>
  <c r="CQ39" i="20"/>
  <c r="CR39" i="20"/>
  <c r="CS39" i="20"/>
  <c r="CT39" i="20"/>
  <c r="CU39" i="20"/>
  <c r="CV39" i="20"/>
  <c r="CW39" i="20"/>
  <c r="CX39" i="20"/>
  <c r="CY39" i="20"/>
  <c r="CZ39" i="20"/>
  <c r="DA39" i="20"/>
  <c r="DB39" i="20"/>
  <c r="DC39" i="20"/>
  <c r="DD39" i="20"/>
  <c r="DE39" i="20"/>
  <c r="DF39" i="20"/>
  <c r="DG39" i="20"/>
  <c r="DH39" i="20"/>
  <c r="DI39" i="20"/>
  <c r="DJ39" i="20"/>
  <c r="DK39" i="20"/>
  <c r="DL39" i="20"/>
  <c r="DM39" i="20"/>
  <c r="DN39" i="20"/>
  <c r="DO39" i="20"/>
  <c r="DP39" i="20"/>
  <c r="DQ39" i="20"/>
  <c r="DR39" i="20"/>
  <c r="DS39" i="20"/>
  <c r="DT39" i="20"/>
  <c r="DU39" i="20"/>
  <c r="DV39" i="20"/>
  <c r="DW39" i="20"/>
  <c r="DX39" i="20"/>
  <c r="DY39" i="20"/>
  <c r="DZ39" i="20"/>
  <c r="EA39" i="20"/>
  <c r="EB39" i="20"/>
  <c r="EC39" i="20"/>
  <c r="ED39" i="20"/>
  <c r="EE39" i="20"/>
  <c r="EF39" i="20"/>
  <c r="EG39" i="20"/>
  <c r="EH39" i="20"/>
  <c r="EI39" i="20"/>
  <c r="EJ39" i="20"/>
  <c r="EK39" i="20"/>
  <c r="EL39" i="20"/>
  <c r="EM39" i="20"/>
  <c r="EN39" i="20"/>
  <c r="EO39" i="20"/>
  <c r="EP39" i="20"/>
  <c r="EQ39" i="20"/>
  <c r="ER39" i="20"/>
  <c r="ES39" i="20"/>
  <c r="ET39" i="20"/>
  <c r="EU39" i="20"/>
  <c r="EV39" i="20"/>
  <c r="EW39" i="20"/>
  <c r="EX39" i="20"/>
  <c r="EY39" i="20"/>
  <c r="EZ39" i="20"/>
  <c r="FA39" i="20"/>
  <c r="FB39" i="20"/>
  <c r="FC39" i="20"/>
  <c r="FD39" i="20"/>
  <c r="FE39" i="20"/>
  <c r="FF39" i="20"/>
  <c r="FG39" i="20"/>
  <c r="FH39" i="20"/>
  <c r="FI39" i="20"/>
  <c r="FJ39" i="20"/>
  <c r="FK39" i="20"/>
  <c r="FL39" i="20"/>
  <c r="FM39" i="20"/>
  <c r="FN39" i="20"/>
  <c r="FO39" i="20"/>
  <c r="FP39" i="20"/>
  <c r="FQ39" i="20"/>
  <c r="FR39" i="20"/>
  <c r="FS39" i="20"/>
  <c r="FT39" i="20"/>
  <c r="FU39" i="20"/>
  <c r="FV39" i="20"/>
  <c r="FW39" i="20"/>
  <c r="FX39" i="20"/>
  <c r="FY39" i="20"/>
  <c r="FZ39" i="20"/>
  <c r="GA39" i="20"/>
  <c r="GB39" i="20"/>
  <c r="GC39" i="20"/>
  <c r="GD39" i="20"/>
  <c r="GE39" i="20"/>
  <c r="GF39" i="20"/>
  <c r="GG39" i="20"/>
  <c r="GH39" i="20"/>
  <c r="GI39" i="20"/>
  <c r="GJ39" i="20"/>
  <c r="GK39" i="20"/>
  <c r="GL39" i="20"/>
  <c r="GM39" i="20"/>
  <c r="GN39" i="20"/>
  <c r="GO39" i="20"/>
  <c r="GP39" i="20"/>
  <c r="GQ39" i="20"/>
  <c r="GR39" i="20"/>
  <c r="GS39" i="20"/>
  <c r="GT39" i="20"/>
  <c r="GU39" i="20"/>
  <c r="GV39" i="20"/>
  <c r="GW39" i="20"/>
  <c r="GX39" i="20"/>
  <c r="GY39" i="20"/>
  <c r="GZ39" i="20"/>
  <c r="HA39" i="20"/>
  <c r="HB39" i="20"/>
  <c r="HC39" i="20"/>
  <c r="HD39" i="20"/>
  <c r="HE39" i="20"/>
  <c r="HF39" i="20"/>
  <c r="HG39" i="20"/>
  <c r="HH39" i="20"/>
  <c r="HI39" i="20"/>
  <c r="HJ39" i="20"/>
  <c r="HK39" i="20"/>
  <c r="HL39" i="20"/>
  <c r="HM39" i="20"/>
  <c r="HN39" i="20"/>
  <c r="HO39" i="20"/>
  <c r="HP39" i="20"/>
  <c r="HQ39" i="20"/>
  <c r="HR39" i="20"/>
  <c r="HS39" i="20"/>
  <c r="HT39" i="20"/>
  <c r="HU39" i="20"/>
  <c r="HV39" i="20"/>
  <c r="HW39" i="20"/>
  <c r="HX39" i="20"/>
  <c r="HY39" i="20"/>
  <c r="HZ39" i="20"/>
  <c r="IA39" i="20"/>
  <c r="IB39" i="20"/>
  <c r="IC39" i="20"/>
  <c r="ID39" i="20"/>
  <c r="IE39" i="20"/>
  <c r="IF39" i="20"/>
  <c r="IG39" i="20"/>
  <c r="IH39" i="20"/>
  <c r="II39" i="20"/>
  <c r="IJ39" i="20"/>
  <c r="IK39" i="20"/>
  <c r="IL39" i="20"/>
  <c r="IM39" i="20"/>
  <c r="IN39" i="20"/>
  <c r="IO39" i="20"/>
  <c r="IP39" i="20"/>
  <c r="IQ39" i="20"/>
  <c r="IR39" i="20"/>
  <c r="IS39" i="20"/>
  <c r="IT39" i="20"/>
  <c r="IU39" i="20"/>
  <c r="IV39" i="20"/>
  <c r="A38"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AU38" i="20"/>
  <c r="AV38" i="20"/>
  <c r="AW38" i="20"/>
  <c r="AX38" i="20"/>
  <c r="AY38" i="20"/>
  <c r="AZ38" i="20"/>
  <c r="BA38" i="20"/>
  <c r="BB38" i="20"/>
  <c r="BC38" i="20"/>
  <c r="BD38" i="20"/>
  <c r="BE38" i="20"/>
  <c r="BF38" i="20"/>
  <c r="BG38" i="20"/>
  <c r="BH38" i="20"/>
  <c r="BI38" i="20"/>
  <c r="BJ38" i="20"/>
  <c r="BK38" i="20"/>
  <c r="BL38" i="20"/>
  <c r="BM38" i="20"/>
  <c r="BN38" i="20"/>
  <c r="BO38" i="20"/>
  <c r="BP38" i="20"/>
  <c r="BQ38" i="20"/>
  <c r="BR38" i="20"/>
  <c r="BS38" i="20"/>
  <c r="BT38" i="20"/>
  <c r="BU38" i="20"/>
  <c r="BV38" i="20"/>
  <c r="BW38" i="20"/>
  <c r="BX38" i="20"/>
  <c r="BY38" i="20"/>
  <c r="BZ38" i="20"/>
  <c r="CA38" i="20"/>
  <c r="CB38" i="20"/>
  <c r="CC38" i="20"/>
  <c r="CD38" i="20"/>
  <c r="CE38" i="20"/>
  <c r="CF38" i="20"/>
  <c r="CG38" i="20"/>
  <c r="CH38" i="20"/>
  <c r="CI38" i="20"/>
  <c r="CJ38" i="20"/>
  <c r="CK38" i="20"/>
  <c r="CL38" i="20"/>
  <c r="CM38" i="20"/>
  <c r="CN38" i="20"/>
  <c r="CO38" i="20"/>
  <c r="CP38" i="20"/>
  <c r="CQ38" i="20"/>
  <c r="CR38" i="20"/>
  <c r="CS38" i="20"/>
  <c r="CT38" i="20"/>
  <c r="CU38" i="20"/>
  <c r="CV38" i="20"/>
  <c r="CW38" i="20"/>
  <c r="CX38" i="20"/>
  <c r="CY38" i="20"/>
  <c r="CZ38" i="20"/>
  <c r="DA38" i="20"/>
  <c r="DB38" i="20"/>
  <c r="DC38" i="20"/>
  <c r="DD38" i="20"/>
  <c r="DE38" i="20"/>
  <c r="DF38" i="20"/>
  <c r="DG38" i="20"/>
  <c r="DH38" i="20"/>
  <c r="DI38" i="20"/>
  <c r="DJ38" i="20"/>
  <c r="DK38" i="20"/>
  <c r="DL38" i="20"/>
  <c r="DM38" i="20"/>
  <c r="DN38" i="20"/>
  <c r="DO38" i="20"/>
  <c r="DP38" i="20"/>
  <c r="DQ38" i="20"/>
  <c r="DR38" i="20"/>
  <c r="DS38" i="20"/>
  <c r="DT38" i="20"/>
  <c r="DU38" i="20"/>
  <c r="DV38" i="20"/>
  <c r="DW38" i="20"/>
  <c r="DX38" i="20"/>
  <c r="DY38" i="20"/>
  <c r="DZ38" i="20"/>
  <c r="EA38" i="20"/>
  <c r="EB38" i="20"/>
  <c r="EC38" i="20"/>
  <c r="ED38" i="20"/>
  <c r="EE38" i="20"/>
  <c r="EF38" i="20"/>
  <c r="EG38" i="20"/>
  <c r="EH38" i="20"/>
  <c r="EI38" i="20"/>
  <c r="EJ38" i="20"/>
  <c r="EK38" i="20"/>
  <c r="EL38" i="20"/>
  <c r="EM38" i="20"/>
  <c r="EN38" i="20"/>
  <c r="EO38" i="20"/>
  <c r="EP38" i="20"/>
  <c r="EQ38" i="20"/>
  <c r="ER38" i="20"/>
  <c r="ES38" i="20"/>
  <c r="ET38" i="20"/>
  <c r="EU38" i="20"/>
  <c r="EV38" i="20"/>
  <c r="EW38" i="20"/>
  <c r="EX38" i="20"/>
  <c r="EY38" i="20"/>
  <c r="EZ38" i="20"/>
  <c r="FA38" i="20"/>
  <c r="FB38" i="20"/>
  <c r="FC38" i="20"/>
  <c r="FD38" i="20"/>
  <c r="FE38" i="20"/>
  <c r="FF38" i="20"/>
  <c r="FG38" i="20"/>
  <c r="FH38" i="20"/>
  <c r="FI38" i="20"/>
  <c r="FJ38" i="20"/>
  <c r="FK38" i="20"/>
  <c r="FL38" i="20"/>
  <c r="FM38" i="20"/>
  <c r="FN38" i="20"/>
  <c r="FO38" i="20"/>
  <c r="FP38" i="20"/>
  <c r="FQ38" i="20"/>
  <c r="FR38" i="20"/>
  <c r="FS38" i="20"/>
  <c r="FT38" i="20"/>
  <c r="FU38" i="20"/>
  <c r="FV38" i="20"/>
  <c r="FW38" i="20"/>
  <c r="FX38" i="20"/>
  <c r="FY38" i="20"/>
  <c r="FZ38" i="20"/>
  <c r="GA38" i="20"/>
  <c r="GB38" i="20"/>
  <c r="GC38" i="20"/>
  <c r="GD38" i="20"/>
  <c r="GE38" i="20"/>
  <c r="GF38" i="20"/>
  <c r="GG38" i="20"/>
  <c r="GH38" i="20"/>
  <c r="GI38" i="20"/>
  <c r="GJ38" i="20"/>
  <c r="GK38" i="20"/>
  <c r="GL38" i="20"/>
  <c r="GM38" i="20"/>
  <c r="GN38" i="20"/>
  <c r="GO38" i="20"/>
  <c r="GP38" i="20"/>
  <c r="GQ38" i="20"/>
  <c r="GR38" i="20"/>
  <c r="GS38" i="20"/>
  <c r="GT38" i="20"/>
  <c r="GU38" i="20"/>
  <c r="GV38" i="20"/>
  <c r="GW38" i="20"/>
  <c r="GX38" i="20"/>
  <c r="GY38" i="20"/>
  <c r="GZ38" i="20"/>
  <c r="HA38" i="20"/>
  <c r="HB38" i="20"/>
  <c r="HC38" i="20"/>
  <c r="HD38" i="20"/>
  <c r="HE38" i="20"/>
  <c r="HF38" i="20"/>
  <c r="HG38" i="20"/>
  <c r="HH38" i="20"/>
  <c r="HI38" i="20"/>
  <c r="HJ38" i="20"/>
  <c r="HK38" i="20"/>
  <c r="HL38" i="20"/>
  <c r="HM38" i="20"/>
  <c r="HN38" i="20"/>
  <c r="HO38" i="20"/>
  <c r="HP38" i="20"/>
  <c r="HQ38" i="20"/>
  <c r="HR38" i="20"/>
  <c r="HS38" i="20"/>
  <c r="HT38" i="20"/>
  <c r="HU38" i="20"/>
  <c r="HV38" i="20"/>
  <c r="HW38" i="20"/>
  <c r="HX38" i="20"/>
  <c r="HY38" i="20"/>
  <c r="HZ38" i="20"/>
  <c r="IA38" i="20"/>
  <c r="IB38" i="20"/>
  <c r="IC38" i="20"/>
  <c r="ID38" i="20"/>
  <c r="IE38" i="20"/>
  <c r="IF38" i="20"/>
  <c r="IG38" i="20"/>
  <c r="IH38" i="20"/>
  <c r="II38" i="20"/>
  <c r="IJ38" i="20"/>
  <c r="IK38" i="20"/>
  <c r="IL38" i="20"/>
  <c r="IM38" i="20"/>
  <c r="IN38" i="20"/>
  <c r="IO38" i="20"/>
  <c r="IP38" i="20"/>
  <c r="IQ38" i="20"/>
  <c r="IR38" i="20"/>
  <c r="IS38" i="20"/>
  <c r="IT38" i="20"/>
  <c r="IU38" i="20"/>
  <c r="IV38" i="20"/>
  <c r="A37"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AU37" i="20"/>
  <c r="AV37" i="20"/>
  <c r="AW37" i="20"/>
  <c r="AX37" i="20"/>
  <c r="AY37" i="20"/>
  <c r="AZ37" i="20"/>
  <c r="BA37" i="20"/>
  <c r="BB37" i="20"/>
  <c r="BC37" i="20"/>
  <c r="BD37" i="20"/>
  <c r="BE37" i="20"/>
  <c r="BF37" i="20"/>
  <c r="BG37" i="20"/>
  <c r="BH37" i="20"/>
  <c r="BI37" i="20"/>
  <c r="BJ37" i="20"/>
  <c r="BK37" i="20"/>
  <c r="BL37" i="20"/>
  <c r="BM37" i="20"/>
  <c r="BN37" i="20"/>
  <c r="BO37" i="20"/>
  <c r="BP37" i="20"/>
  <c r="BQ37" i="20"/>
  <c r="BR37" i="20"/>
  <c r="BS37" i="20"/>
  <c r="BT37" i="20"/>
  <c r="BU37" i="20"/>
  <c r="BV37" i="20"/>
  <c r="BW37" i="20"/>
  <c r="BX37" i="20"/>
  <c r="BY37" i="20"/>
  <c r="BZ37" i="20"/>
  <c r="CA37" i="20"/>
  <c r="CB37" i="20"/>
  <c r="CC37" i="20"/>
  <c r="CD37" i="20"/>
  <c r="CE37" i="20"/>
  <c r="CF37" i="20"/>
  <c r="CG37" i="20"/>
  <c r="CH37" i="20"/>
  <c r="CI37" i="20"/>
  <c r="CJ37" i="20"/>
  <c r="CK37" i="20"/>
  <c r="CL37" i="20"/>
  <c r="CM37" i="20"/>
  <c r="CN37" i="20"/>
  <c r="CO37" i="20"/>
  <c r="CP37" i="20"/>
  <c r="CQ37" i="20"/>
  <c r="CR37" i="20"/>
  <c r="CS37" i="20"/>
  <c r="CT37" i="20"/>
  <c r="CU37" i="20"/>
  <c r="CV37" i="20"/>
  <c r="CW37" i="20"/>
  <c r="CX37" i="20"/>
  <c r="CY37" i="20"/>
  <c r="CZ37" i="20"/>
  <c r="DA37" i="20"/>
  <c r="DB37" i="20"/>
  <c r="DC37" i="20"/>
  <c r="DD37" i="20"/>
  <c r="DE37" i="20"/>
  <c r="DF37" i="20"/>
  <c r="DG37" i="20"/>
  <c r="DH37" i="20"/>
  <c r="DI37" i="20"/>
  <c r="DJ37" i="20"/>
  <c r="DK37" i="20"/>
  <c r="DL37" i="20"/>
  <c r="DM37" i="20"/>
  <c r="DN37" i="20"/>
  <c r="DO37" i="20"/>
  <c r="DP37" i="20"/>
  <c r="DQ37" i="20"/>
  <c r="DR37" i="20"/>
  <c r="DS37" i="20"/>
  <c r="DT37" i="20"/>
  <c r="DU37" i="20"/>
  <c r="DV37" i="20"/>
  <c r="DW37" i="20"/>
  <c r="DX37" i="20"/>
  <c r="DY37" i="20"/>
  <c r="DZ37" i="20"/>
  <c r="EA37" i="20"/>
  <c r="EB37" i="20"/>
  <c r="EC37" i="20"/>
  <c r="ED37" i="20"/>
  <c r="EE37" i="20"/>
  <c r="EF37" i="20"/>
  <c r="EG37" i="20"/>
  <c r="EH37" i="20"/>
  <c r="EI37" i="20"/>
  <c r="EJ37" i="20"/>
  <c r="EK37" i="20"/>
  <c r="EL37" i="20"/>
  <c r="EM37" i="20"/>
  <c r="EN37" i="20"/>
  <c r="EO37" i="20"/>
  <c r="EP37" i="20"/>
  <c r="EQ37" i="20"/>
  <c r="ER37" i="20"/>
  <c r="ES37" i="20"/>
  <c r="ET37" i="20"/>
  <c r="EU37" i="20"/>
  <c r="EV37" i="20"/>
  <c r="EW37" i="20"/>
  <c r="EX37" i="20"/>
  <c r="EY37" i="20"/>
  <c r="EZ37" i="20"/>
  <c r="FA37" i="20"/>
  <c r="FB37" i="20"/>
  <c r="FC37" i="20"/>
  <c r="FD37" i="20"/>
  <c r="FE37" i="20"/>
  <c r="FF37" i="20"/>
  <c r="FG37" i="20"/>
  <c r="FH37" i="20"/>
  <c r="FI37" i="20"/>
  <c r="FJ37" i="20"/>
  <c r="FK37" i="20"/>
  <c r="FL37" i="20"/>
  <c r="FM37" i="20"/>
  <c r="FN37" i="20"/>
  <c r="FO37" i="20"/>
  <c r="FP37" i="20"/>
  <c r="FQ37" i="20"/>
  <c r="FR37" i="20"/>
  <c r="FS37" i="20"/>
  <c r="FT37" i="20"/>
  <c r="FU37" i="20"/>
  <c r="FV37" i="20"/>
  <c r="FW37" i="20"/>
  <c r="FX37" i="20"/>
  <c r="FY37" i="20"/>
  <c r="FZ37" i="20"/>
  <c r="GA37" i="20"/>
  <c r="GB37" i="20"/>
  <c r="GC37" i="20"/>
  <c r="GD37" i="20"/>
  <c r="GE37" i="20"/>
  <c r="GF37" i="20"/>
  <c r="GG37" i="20"/>
  <c r="GH37" i="20"/>
  <c r="GI37" i="20"/>
  <c r="GJ37" i="20"/>
  <c r="GK37" i="20"/>
  <c r="GL37" i="20"/>
  <c r="GM37" i="20"/>
  <c r="GN37" i="20"/>
  <c r="GO37" i="20"/>
  <c r="GP37" i="20"/>
  <c r="GQ37" i="20"/>
  <c r="GR37" i="20"/>
  <c r="GS37" i="20"/>
  <c r="GT37" i="20"/>
  <c r="GU37" i="20"/>
  <c r="GV37" i="20"/>
  <c r="GW37" i="20"/>
  <c r="GX37" i="20"/>
  <c r="GY37" i="20"/>
  <c r="GZ37" i="20"/>
  <c r="HA37" i="20"/>
  <c r="HB37" i="20"/>
  <c r="HC37" i="20"/>
  <c r="HD37" i="20"/>
  <c r="HE37" i="20"/>
  <c r="HF37" i="20"/>
  <c r="HG37" i="20"/>
  <c r="HH37" i="20"/>
  <c r="HI37" i="20"/>
  <c r="HJ37" i="20"/>
  <c r="HK37" i="20"/>
  <c r="HL37" i="20"/>
  <c r="HM37" i="20"/>
  <c r="HN37" i="20"/>
  <c r="HO37" i="20"/>
  <c r="HP37" i="20"/>
  <c r="HQ37" i="20"/>
  <c r="HR37" i="20"/>
  <c r="HS37" i="20"/>
  <c r="HT37" i="20"/>
  <c r="HU37" i="20"/>
  <c r="HV37" i="20"/>
  <c r="HW37" i="20"/>
  <c r="HX37" i="20"/>
  <c r="HY37" i="20"/>
  <c r="HZ37" i="20"/>
  <c r="IA37" i="20"/>
  <c r="IB37" i="20"/>
  <c r="IC37" i="20"/>
  <c r="ID37" i="20"/>
  <c r="IE37" i="20"/>
  <c r="IF37" i="20"/>
  <c r="IG37" i="20"/>
  <c r="IH37" i="20"/>
  <c r="II37" i="20"/>
  <c r="IJ37" i="20"/>
  <c r="IK37" i="20"/>
  <c r="IL37" i="20"/>
  <c r="IM37" i="20"/>
  <c r="IN37" i="20"/>
  <c r="IO37" i="20"/>
  <c r="IP37" i="20"/>
  <c r="IQ37" i="20"/>
  <c r="IR37" i="20"/>
  <c r="IS37" i="20"/>
  <c r="IT37" i="20"/>
  <c r="IU37" i="20"/>
  <c r="IV37" i="20"/>
  <c r="A36"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G36" i="20"/>
  <c r="AH36" i="20"/>
  <c r="AI36" i="20"/>
  <c r="AJ36" i="20"/>
  <c r="AK36" i="20"/>
  <c r="AL36" i="20"/>
  <c r="AM36" i="20"/>
  <c r="AN36" i="20"/>
  <c r="AO36" i="20"/>
  <c r="AP36" i="20"/>
  <c r="AQ36" i="20"/>
  <c r="AR36" i="20"/>
  <c r="AS36" i="20"/>
  <c r="AT36" i="20"/>
  <c r="AU36" i="20"/>
  <c r="AV36" i="20"/>
  <c r="AW36" i="20"/>
  <c r="AX36" i="20"/>
  <c r="AY36" i="20"/>
  <c r="AZ36" i="20"/>
  <c r="BA36" i="20"/>
  <c r="BB36" i="20"/>
  <c r="BC36" i="20"/>
  <c r="BD36" i="20"/>
  <c r="BE36" i="20"/>
  <c r="BF36" i="20"/>
  <c r="BG36" i="20"/>
  <c r="BH36" i="20"/>
  <c r="BI36" i="20"/>
  <c r="BJ36" i="20"/>
  <c r="BK36" i="20"/>
  <c r="BL36" i="20"/>
  <c r="BM36" i="20"/>
  <c r="BN36" i="20"/>
  <c r="BO36" i="20"/>
  <c r="BP36" i="20"/>
  <c r="BQ36" i="20"/>
  <c r="BR36" i="20"/>
  <c r="BS36" i="20"/>
  <c r="BT36" i="20"/>
  <c r="BU36" i="20"/>
  <c r="BV36" i="20"/>
  <c r="BW36" i="20"/>
  <c r="BX36" i="20"/>
  <c r="BY36" i="20"/>
  <c r="BZ36" i="20"/>
  <c r="CA36" i="20"/>
  <c r="CB36" i="20"/>
  <c r="CC36" i="20"/>
  <c r="CD36" i="20"/>
  <c r="CE36" i="20"/>
  <c r="CF36" i="20"/>
  <c r="CG36" i="20"/>
  <c r="CH36" i="20"/>
  <c r="CI36" i="20"/>
  <c r="CJ36" i="20"/>
  <c r="CK36" i="20"/>
  <c r="CL36" i="20"/>
  <c r="CM36" i="20"/>
  <c r="CN36" i="20"/>
  <c r="CO36" i="20"/>
  <c r="CP36" i="20"/>
  <c r="CQ36" i="20"/>
  <c r="CR36" i="20"/>
  <c r="CS36" i="20"/>
  <c r="CT36" i="20"/>
  <c r="CU36" i="20"/>
  <c r="CV36" i="20"/>
  <c r="CW36" i="20"/>
  <c r="CX36" i="20"/>
  <c r="CY36" i="20"/>
  <c r="CZ36" i="20"/>
  <c r="DA36" i="20"/>
  <c r="DB36" i="20"/>
  <c r="DC36" i="20"/>
  <c r="DD36" i="20"/>
  <c r="DE36" i="20"/>
  <c r="DF36" i="20"/>
  <c r="DG36" i="20"/>
  <c r="DH36" i="20"/>
  <c r="DI36" i="20"/>
  <c r="DJ36" i="20"/>
  <c r="DK36" i="20"/>
  <c r="DL36" i="20"/>
  <c r="DM36" i="20"/>
  <c r="DN36" i="20"/>
  <c r="DO36" i="20"/>
  <c r="DP36" i="20"/>
  <c r="DQ36" i="20"/>
  <c r="DR36" i="20"/>
  <c r="DS36" i="20"/>
  <c r="DT36" i="20"/>
  <c r="DU36" i="20"/>
  <c r="DV36" i="20"/>
  <c r="DW36" i="20"/>
  <c r="DX36" i="20"/>
  <c r="DY36" i="20"/>
  <c r="DZ36" i="20"/>
  <c r="EA36" i="20"/>
  <c r="EB36" i="20"/>
  <c r="EC36" i="20"/>
  <c r="ED36" i="20"/>
  <c r="EE36" i="20"/>
  <c r="EF36" i="20"/>
  <c r="EG36" i="20"/>
  <c r="EH36" i="20"/>
  <c r="EI36" i="20"/>
  <c r="EJ36" i="20"/>
  <c r="EK36" i="20"/>
  <c r="EL36" i="20"/>
  <c r="EM36" i="20"/>
  <c r="EN36" i="20"/>
  <c r="EO36" i="20"/>
  <c r="EP36" i="20"/>
  <c r="EQ36" i="20"/>
  <c r="ER36" i="20"/>
  <c r="ES36" i="20"/>
  <c r="ET36" i="20"/>
  <c r="EU36" i="20"/>
  <c r="EV36" i="20"/>
  <c r="EW36" i="20"/>
  <c r="EX36" i="20"/>
  <c r="EY36" i="20"/>
  <c r="EZ36" i="20"/>
  <c r="FA36" i="20"/>
  <c r="FB36" i="20"/>
  <c r="FC36" i="20"/>
  <c r="FD36" i="20"/>
  <c r="FE36" i="20"/>
  <c r="FF36" i="20"/>
  <c r="FG36" i="20"/>
  <c r="FH36" i="20"/>
  <c r="FI36" i="20"/>
  <c r="FJ36" i="20"/>
  <c r="FK36" i="20"/>
  <c r="FL36" i="20"/>
  <c r="FM36" i="20"/>
  <c r="FN36" i="20"/>
  <c r="FO36" i="20"/>
  <c r="FP36" i="20"/>
  <c r="FQ36" i="20"/>
  <c r="FR36" i="20"/>
  <c r="FS36" i="20"/>
  <c r="FT36" i="20"/>
  <c r="FU36" i="20"/>
  <c r="FV36" i="20"/>
  <c r="FW36" i="20"/>
  <c r="FX36" i="20"/>
  <c r="FY36" i="20"/>
  <c r="FZ36" i="20"/>
  <c r="GA36" i="20"/>
  <c r="GB36" i="20"/>
  <c r="GC36" i="20"/>
  <c r="GD36" i="20"/>
  <c r="GE36" i="20"/>
  <c r="GF36" i="20"/>
  <c r="GG36" i="20"/>
  <c r="GH36" i="20"/>
  <c r="GI36" i="20"/>
  <c r="GJ36" i="20"/>
  <c r="GK36" i="20"/>
  <c r="GL36" i="20"/>
  <c r="GM36" i="20"/>
  <c r="GN36" i="20"/>
  <c r="GO36" i="20"/>
  <c r="GP36" i="20"/>
  <c r="GQ36" i="20"/>
  <c r="GR36" i="20"/>
  <c r="GS36" i="20"/>
  <c r="GT36" i="20"/>
  <c r="GU36" i="20"/>
  <c r="GV36" i="20"/>
  <c r="GW36" i="20"/>
  <c r="GX36" i="20"/>
  <c r="GY36" i="20"/>
  <c r="GZ36" i="20"/>
  <c r="HA36" i="20"/>
  <c r="HB36" i="20"/>
  <c r="HC36" i="20"/>
  <c r="HD36" i="20"/>
  <c r="HE36" i="20"/>
  <c r="HF36" i="20"/>
  <c r="HG36" i="20"/>
  <c r="HH36" i="20"/>
  <c r="HI36" i="20"/>
  <c r="HJ36" i="20"/>
  <c r="HK36" i="20"/>
  <c r="HL36" i="20"/>
  <c r="HM36" i="20"/>
  <c r="HN36" i="20"/>
  <c r="HO36" i="20"/>
  <c r="HP36" i="20"/>
  <c r="HQ36" i="20"/>
  <c r="HR36" i="20"/>
  <c r="HS36" i="20"/>
  <c r="HT36" i="20"/>
  <c r="HU36" i="20"/>
  <c r="HV36" i="20"/>
  <c r="HW36" i="20"/>
  <c r="HX36" i="20"/>
  <c r="HY36" i="20"/>
  <c r="HZ36" i="20"/>
  <c r="IA36" i="20"/>
  <c r="IB36" i="20"/>
  <c r="IC36" i="20"/>
  <c r="ID36" i="20"/>
  <c r="IE36" i="20"/>
  <c r="IF36" i="20"/>
  <c r="IG36" i="20"/>
  <c r="IH36" i="20"/>
  <c r="II36" i="20"/>
  <c r="IJ36" i="20"/>
  <c r="IK36" i="20"/>
  <c r="IL36" i="20"/>
  <c r="IM36" i="20"/>
  <c r="IN36" i="20"/>
  <c r="IO36" i="20"/>
  <c r="IP36" i="20"/>
  <c r="IQ36" i="20"/>
  <c r="IR36" i="20"/>
  <c r="IS36" i="20"/>
  <c r="IT36" i="20"/>
  <c r="IU36" i="20"/>
  <c r="IV36" i="20"/>
  <c r="A35"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G35" i="20"/>
  <c r="AH35" i="20"/>
  <c r="AI35" i="20"/>
  <c r="AJ35" i="20"/>
  <c r="AK35" i="20"/>
  <c r="AL35" i="20"/>
  <c r="AM35" i="20"/>
  <c r="AN35" i="20"/>
  <c r="AO35" i="20"/>
  <c r="AP35" i="20"/>
  <c r="AQ35" i="20"/>
  <c r="AR35" i="20"/>
  <c r="AS35" i="20"/>
  <c r="AT35" i="20"/>
  <c r="AU35" i="20"/>
  <c r="AV35" i="20"/>
  <c r="AW35" i="20"/>
  <c r="AX35" i="20"/>
  <c r="AY35" i="20"/>
  <c r="AZ35" i="20"/>
  <c r="BA35" i="20"/>
  <c r="BB35" i="20"/>
  <c r="BC35" i="20"/>
  <c r="BD35" i="20"/>
  <c r="BE35" i="20"/>
  <c r="BF35" i="20"/>
  <c r="BG35" i="20"/>
  <c r="BH35" i="20"/>
  <c r="BI35" i="20"/>
  <c r="BJ35" i="20"/>
  <c r="BK35" i="20"/>
  <c r="BL35" i="20"/>
  <c r="BM35" i="20"/>
  <c r="BN35" i="20"/>
  <c r="BO35" i="20"/>
  <c r="BP35" i="20"/>
  <c r="BQ35" i="20"/>
  <c r="BR35" i="20"/>
  <c r="BS35" i="20"/>
  <c r="BT35" i="20"/>
  <c r="BU35" i="20"/>
  <c r="BV35" i="20"/>
  <c r="BW35" i="20"/>
  <c r="BX35" i="20"/>
  <c r="BY35" i="20"/>
  <c r="BZ35" i="20"/>
  <c r="CA35" i="20"/>
  <c r="CB35" i="20"/>
  <c r="CC35" i="20"/>
  <c r="CD35" i="20"/>
  <c r="CE35" i="20"/>
  <c r="CF35" i="20"/>
  <c r="CG35" i="20"/>
  <c r="CH35" i="20"/>
  <c r="CI35" i="20"/>
  <c r="CJ35" i="20"/>
  <c r="CK35" i="20"/>
  <c r="CL35" i="20"/>
  <c r="CM35" i="20"/>
  <c r="CN35" i="20"/>
  <c r="CO35" i="20"/>
  <c r="CP35" i="20"/>
  <c r="CQ35" i="20"/>
  <c r="CR35" i="20"/>
  <c r="CS35" i="20"/>
  <c r="CT35" i="20"/>
  <c r="CU35" i="20"/>
  <c r="CV35" i="20"/>
  <c r="CW35" i="20"/>
  <c r="CX35" i="20"/>
  <c r="CY35" i="20"/>
  <c r="CZ35" i="20"/>
  <c r="DA35" i="20"/>
  <c r="DB35" i="20"/>
  <c r="DC35" i="20"/>
  <c r="DD35" i="20"/>
  <c r="DE35" i="20"/>
  <c r="DF35" i="20"/>
  <c r="DG35" i="20"/>
  <c r="DH35" i="20"/>
  <c r="DI35" i="20"/>
  <c r="DJ35" i="20"/>
  <c r="DK35" i="20"/>
  <c r="DL35" i="20"/>
  <c r="DM35" i="20"/>
  <c r="DN35" i="20"/>
  <c r="DO35" i="20"/>
  <c r="DP35" i="20"/>
  <c r="DQ35" i="20"/>
  <c r="DR35" i="20"/>
  <c r="DS35" i="20"/>
  <c r="DT35" i="20"/>
  <c r="DU35" i="20"/>
  <c r="DV35" i="20"/>
  <c r="DW35" i="20"/>
  <c r="DX35" i="20"/>
  <c r="DY35" i="20"/>
  <c r="DZ35" i="20"/>
  <c r="EA35" i="20"/>
  <c r="EB35" i="20"/>
  <c r="EC35" i="20"/>
  <c r="ED35" i="20"/>
  <c r="EE35" i="20"/>
  <c r="EF35" i="20"/>
  <c r="EG35" i="20"/>
  <c r="EH35" i="20"/>
  <c r="EI35" i="20"/>
  <c r="EJ35" i="20"/>
  <c r="EK35" i="20"/>
  <c r="EL35" i="20"/>
  <c r="EM35" i="20"/>
  <c r="EN35" i="20"/>
  <c r="EO35" i="20"/>
  <c r="EP35" i="20"/>
  <c r="EQ35" i="20"/>
  <c r="ER35" i="20"/>
  <c r="ES35" i="20"/>
  <c r="ET35" i="20"/>
  <c r="EU35" i="20"/>
  <c r="EV35" i="20"/>
  <c r="EW35" i="20"/>
  <c r="EX35" i="20"/>
  <c r="EY35" i="20"/>
  <c r="EZ35" i="20"/>
  <c r="FA35" i="20"/>
  <c r="FB35" i="20"/>
  <c r="FC35" i="20"/>
  <c r="FD35" i="20"/>
  <c r="FE35" i="20"/>
  <c r="FF35" i="20"/>
  <c r="FG35" i="20"/>
  <c r="FH35" i="20"/>
  <c r="FI35" i="20"/>
  <c r="FJ35" i="20"/>
  <c r="FK35" i="20"/>
  <c r="FL35" i="20"/>
  <c r="FM35" i="20"/>
  <c r="FN35" i="20"/>
  <c r="FO35" i="20"/>
  <c r="FP35" i="20"/>
  <c r="FQ35" i="20"/>
  <c r="FR35" i="20"/>
  <c r="FS35" i="20"/>
  <c r="FT35" i="20"/>
  <c r="FU35" i="20"/>
  <c r="FV35" i="20"/>
  <c r="FW35" i="20"/>
  <c r="FX35" i="20"/>
  <c r="FY35" i="20"/>
  <c r="FZ35" i="20"/>
  <c r="GA35" i="20"/>
  <c r="GB35" i="20"/>
  <c r="GC35" i="20"/>
  <c r="GD35" i="20"/>
  <c r="GE35" i="20"/>
  <c r="GF35" i="20"/>
  <c r="GG35" i="20"/>
  <c r="GH35" i="20"/>
  <c r="GI35" i="20"/>
  <c r="GJ35" i="20"/>
  <c r="GK35" i="20"/>
  <c r="GL35" i="20"/>
  <c r="GM35" i="20"/>
  <c r="GN35" i="20"/>
  <c r="GO35" i="20"/>
  <c r="GP35" i="20"/>
  <c r="GQ35" i="20"/>
  <c r="GR35" i="20"/>
  <c r="GS35" i="20"/>
  <c r="GT35" i="20"/>
  <c r="GU35" i="20"/>
  <c r="GV35" i="20"/>
  <c r="GW35" i="20"/>
  <c r="GX35" i="20"/>
  <c r="GY35" i="20"/>
  <c r="GZ35" i="20"/>
  <c r="HA35" i="20"/>
  <c r="HB35" i="20"/>
  <c r="HC35" i="20"/>
  <c r="HD35" i="20"/>
  <c r="HE35" i="20"/>
  <c r="HF35" i="20"/>
  <c r="HG35" i="20"/>
  <c r="HH35" i="20"/>
  <c r="HI35" i="20"/>
  <c r="HJ35" i="20"/>
  <c r="HK35" i="20"/>
  <c r="HL35" i="20"/>
  <c r="HM35" i="20"/>
  <c r="HN35" i="20"/>
  <c r="HO35" i="20"/>
  <c r="HP35" i="20"/>
  <c r="HQ35" i="20"/>
  <c r="HR35" i="20"/>
  <c r="HS35" i="20"/>
  <c r="HT35" i="20"/>
  <c r="HU35" i="20"/>
  <c r="HV35" i="20"/>
  <c r="HW35" i="20"/>
  <c r="HX35" i="20"/>
  <c r="HY35" i="20"/>
  <c r="HZ35" i="20"/>
  <c r="IA35" i="20"/>
  <c r="IB35" i="20"/>
  <c r="IC35" i="20"/>
  <c r="ID35" i="20"/>
  <c r="IE35" i="20"/>
  <c r="IF35" i="20"/>
  <c r="IG35" i="20"/>
  <c r="IH35" i="20"/>
  <c r="II35" i="20"/>
  <c r="IJ35" i="20"/>
  <c r="IK35" i="20"/>
  <c r="IL35" i="20"/>
  <c r="IM35" i="20"/>
  <c r="IN35" i="20"/>
  <c r="IO35" i="20"/>
  <c r="IP35" i="20"/>
  <c r="IQ35" i="20"/>
  <c r="IR35" i="20"/>
  <c r="IS35" i="20"/>
  <c r="IT35" i="20"/>
  <c r="IU35" i="20"/>
  <c r="IV35" i="20"/>
  <c r="A34"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J34" i="20"/>
  <c r="AN34" i="20"/>
  <c r="AO34" i="20"/>
  <c r="AP34" i="20"/>
  <c r="AQ34" i="20"/>
  <c r="AR34" i="20"/>
  <c r="AS34" i="20"/>
  <c r="AT34" i="20"/>
  <c r="AU34" i="20"/>
  <c r="AV34" i="20"/>
  <c r="AW34" i="20"/>
  <c r="AX34" i="20"/>
  <c r="AY34" i="20"/>
  <c r="AZ34" i="20"/>
  <c r="BA34" i="20"/>
  <c r="BB34" i="20"/>
  <c r="BC34" i="20"/>
  <c r="BD34" i="20"/>
  <c r="BE34" i="20"/>
  <c r="BF34" i="20"/>
  <c r="BG34" i="20"/>
  <c r="BH34" i="20"/>
  <c r="BI34" i="20"/>
  <c r="BJ34" i="20"/>
  <c r="BK34" i="20"/>
  <c r="BL34" i="20"/>
  <c r="BM34" i="20"/>
  <c r="BN34" i="20"/>
  <c r="BO34" i="20"/>
  <c r="BP34" i="20"/>
  <c r="BQ34" i="20"/>
  <c r="BR34" i="20"/>
  <c r="BS34" i="20"/>
  <c r="BT34" i="20"/>
  <c r="BU34" i="20"/>
  <c r="BV34" i="20"/>
  <c r="BW34" i="20"/>
  <c r="BX34" i="20"/>
  <c r="BY34" i="20"/>
  <c r="BZ34" i="20"/>
  <c r="CA34" i="20"/>
  <c r="CB34" i="20"/>
  <c r="CC34" i="20"/>
  <c r="CD34" i="20"/>
  <c r="CE34" i="20"/>
  <c r="CF34" i="20"/>
  <c r="CG34" i="20"/>
  <c r="CH34" i="20"/>
  <c r="CI34" i="20"/>
  <c r="CJ34" i="20"/>
  <c r="CK34" i="20"/>
  <c r="CL34" i="20"/>
  <c r="CM34" i="20"/>
  <c r="CN34" i="20"/>
  <c r="CO34" i="20"/>
  <c r="CP34" i="20"/>
  <c r="CQ34" i="20"/>
  <c r="CR34" i="20"/>
  <c r="CS34" i="20"/>
  <c r="CT34" i="20"/>
  <c r="CU34" i="20"/>
  <c r="CV34" i="20"/>
  <c r="CW34" i="20"/>
  <c r="CX34" i="20"/>
  <c r="CY34" i="20"/>
  <c r="CZ34" i="20"/>
  <c r="DA34" i="20"/>
  <c r="DB34" i="20"/>
  <c r="DC34" i="20"/>
  <c r="DD34" i="20"/>
  <c r="DE34" i="20"/>
  <c r="DF34" i="20"/>
  <c r="DG34" i="20"/>
  <c r="DH34" i="20"/>
  <c r="DI34" i="20"/>
  <c r="DJ34" i="20"/>
  <c r="DK34" i="20"/>
  <c r="DL34" i="20"/>
  <c r="DM34" i="20"/>
  <c r="DN34" i="20"/>
  <c r="DO34" i="20"/>
  <c r="DP34" i="20"/>
  <c r="DQ34" i="20"/>
  <c r="DR34" i="20"/>
  <c r="DS34" i="20"/>
  <c r="DT34" i="20"/>
  <c r="DU34" i="20"/>
  <c r="DV34" i="20"/>
  <c r="DW34" i="20"/>
  <c r="DX34" i="20"/>
  <c r="DY34" i="20"/>
  <c r="DZ34" i="20"/>
  <c r="EA34" i="20"/>
  <c r="EB34" i="20"/>
  <c r="EC34" i="20"/>
  <c r="ED34" i="20"/>
  <c r="EE34" i="20"/>
  <c r="EF34" i="20"/>
  <c r="EG34" i="20"/>
  <c r="EH34" i="20"/>
  <c r="EI34" i="20"/>
  <c r="EJ34" i="20"/>
  <c r="EK34" i="20"/>
  <c r="EL34" i="20"/>
  <c r="EM34" i="20"/>
  <c r="EN34" i="20"/>
  <c r="EO34" i="20"/>
  <c r="EP34" i="20"/>
  <c r="EQ34" i="20"/>
  <c r="ER34" i="20"/>
  <c r="ES34" i="20"/>
  <c r="ET34" i="20"/>
  <c r="EU34" i="20"/>
  <c r="EV34" i="20"/>
  <c r="EW34" i="20"/>
  <c r="EX34" i="20"/>
  <c r="EY34" i="20"/>
  <c r="EZ34" i="20"/>
  <c r="FA34" i="20"/>
  <c r="FB34" i="20"/>
  <c r="FC34" i="20"/>
  <c r="FD34" i="20"/>
  <c r="FE34" i="20"/>
  <c r="FF34" i="20"/>
  <c r="FG34" i="20"/>
  <c r="FH34" i="20"/>
  <c r="FI34" i="20"/>
  <c r="FJ34" i="20"/>
  <c r="FK34" i="20"/>
  <c r="FL34" i="20"/>
  <c r="FM34" i="20"/>
  <c r="FN34" i="20"/>
  <c r="FO34" i="20"/>
  <c r="FP34" i="20"/>
  <c r="FQ34" i="20"/>
  <c r="FR34" i="20"/>
  <c r="FS34" i="20"/>
  <c r="FT34" i="20"/>
  <c r="FU34" i="20"/>
  <c r="FV34" i="20"/>
  <c r="FW34" i="20"/>
  <c r="FX34" i="20"/>
  <c r="FY34" i="20"/>
  <c r="FZ34" i="20"/>
  <c r="GA34" i="20"/>
  <c r="GB34" i="20"/>
  <c r="GC34" i="20"/>
  <c r="GD34" i="20"/>
  <c r="GE34" i="20"/>
  <c r="GF34" i="20"/>
  <c r="GG34" i="20"/>
  <c r="GH34" i="20"/>
  <c r="GI34" i="20"/>
  <c r="GJ34" i="20"/>
  <c r="GK34" i="20"/>
  <c r="GL34" i="20"/>
  <c r="GM34" i="20"/>
  <c r="GN34" i="20"/>
  <c r="GO34" i="20"/>
  <c r="GP34" i="20"/>
  <c r="GQ34" i="20"/>
  <c r="GR34" i="20"/>
  <c r="GS34" i="20"/>
  <c r="GT34" i="20"/>
  <c r="GU34" i="20"/>
  <c r="GV34" i="20"/>
  <c r="GW34" i="20"/>
  <c r="GX34" i="20"/>
  <c r="GY34" i="20"/>
  <c r="GZ34" i="20"/>
  <c r="HA34" i="20"/>
  <c r="HB34" i="20"/>
  <c r="HC34" i="20"/>
  <c r="HD34" i="20"/>
  <c r="HE34" i="20"/>
  <c r="HF34" i="20"/>
  <c r="HG34" i="20"/>
  <c r="HH34" i="20"/>
  <c r="HI34" i="20"/>
  <c r="HJ34" i="20"/>
  <c r="HK34" i="20"/>
  <c r="HL34" i="20"/>
  <c r="HM34" i="20"/>
  <c r="HN34" i="20"/>
  <c r="HO34" i="20"/>
  <c r="HP34" i="20"/>
  <c r="HQ34" i="20"/>
  <c r="HR34" i="20"/>
  <c r="HS34" i="20"/>
  <c r="HT34" i="20"/>
  <c r="HU34" i="20"/>
  <c r="HV34" i="20"/>
  <c r="HW34" i="20"/>
  <c r="HX34" i="20"/>
  <c r="HY34" i="20"/>
  <c r="HZ34" i="20"/>
  <c r="IA34" i="20"/>
  <c r="IB34" i="20"/>
  <c r="IC34" i="20"/>
  <c r="ID34" i="20"/>
  <c r="IE34" i="20"/>
  <c r="IF34" i="20"/>
  <c r="IG34" i="20"/>
  <c r="IH34" i="20"/>
  <c r="II34" i="20"/>
  <c r="IJ34" i="20"/>
  <c r="IK34" i="20"/>
  <c r="IL34" i="20"/>
  <c r="IM34" i="20"/>
  <c r="IN34" i="20"/>
  <c r="IO34" i="20"/>
  <c r="IP34" i="20"/>
  <c r="IQ34" i="20"/>
  <c r="IR34" i="20"/>
  <c r="IS34" i="20"/>
  <c r="IT34" i="20"/>
  <c r="IU34" i="20"/>
  <c r="IV34" i="20"/>
  <c r="A33"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G33" i="20"/>
  <c r="AH33" i="20"/>
  <c r="AI33" i="20"/>
  <c r="AJ33" i="20"/>
  <c r="AK33" i="20"/>
  <c r="AL33" i="20"/>
  <c r="AM33" i="20"/>
  <c r="AN33" i="20"/>
  <c r="AO33" i="20"/>
  <c r="AP33" i="20"/>
  <c r="AQ33" i="20"/>
  <c r="AR33" i="20"/>
  <c r="AS33" i="20"/>
  <c r="AT33" i="20"/>
  <c r="AU33" i="20"/>
  <c r="AV33" i="20"/>
  <c r="AW33" i="20"/>
  <c r="AX33" i="20"/>
  <c r="AY33" i="20"/>
  <c r="AZ33" i="20"/>
  <c r="BA33" i="20"/>
  <c r="BB33" i="20"/>
  <c r="BC33" i="20"/>
  <c r="BD33" i="20"/>
  <c r="BE33" i="20"/>
  <c r="BF33" i="20"/>
  <c r="BG33" i="20"/>
  <c r="BH33" i="20"/>
  <c r="BI33" i="20"/>
  <c r="BJ33" i="20"/>
  <c r="BK33" i="20"/>
  <c r="BL33" i="20"/>
  <c r="BM33" i="20"/>
  <c r="BN33" i="20"/>
  <c r="BO33" i="20"/>
  <c r="BP33" i="20"/>
  <c r="BQ33" i="20"/>
  <c r="BR33" i="20"/>
  <c r="BS33" i="20"/>
  <c r="BT33" i="20"/>
  <c r="BU33" i="20"/>
  <c r="BV33" i="20"/>
  <c r="BW33" i="20"/>
  <c r="BX33" i="20"/>
  <c r="BY33" i="20"/>
  <c r="BZ33" i="20"/>
  <c r="CA33" i="20"/>
  <c r="CB33" i="20"/>
  <c r="CC33" i="20"/>
  <c r="CD33" i="20"/>
  <c r="CE33" i="20"/>
  <c r="CF33" i="20"/>
  <c r="CG33" i="20"/>
  <c r="CH33" i="20"/>
  <c r="CI33" i="20"/>
  <c r="CJ33" i="20"/>
  <c r="CK33" i="20"/>
  <c r="CL33" i="20"/>
  <c r="CM33" i="20"/>
  <c r="CN33" i="20"/>
  <c r="CO33" i="20"/>
  <c r="CP33" i="20"/>
  <c r="CQ33" i="20"/>
  <c r="CR33" i="20"/>
  <c r="CS33" i="20"/>
  <c r="CT33" i="20"/>
  <c r="CU33" i="20"/>
  <c r="CV33" i="20"/>
  <c r="CW33" i="20"/>
  <c r="CX33" i="20"/>
  <c r="CY33" i="20"/>
  <c r="CZ33" i="20"/>
  <c r="DA33" i="20"/>
  <c r="DB33" i="20"/>
  <c r="DC33" i="20"/>
  <c r="DD33" i="20"/>
  <c r="DE33" i="20"/>
  <c r="DF33" i="20"/>
  <c r="DG33" i="20"/>
  <c r="DH33" i="20"/>
  <c r="DI33" i="20"/>
  <c r="DJ33" i="20"/>
  <c r="DK33" i="20"/>
  <c r="DL33" i="20"/>
  <c r="DM33" i="20"/>
  <c r="DN33" i="20"/>
  <c r="DO33" i="20"/>
  <c r="DP33" i="20"/>
  <c r="DQ33" i="20"/>
  <c r="DR33" i="20"/>
  <c r="DS33" i="20"/>
  <c r="DT33" i="20"/>
  <c r="DU33" i="20"/>
  <c r="DV33" i="20"/>
  <c r="DW33" i="20"/>
  <c r="DX33" i="20"/>
  <c r="DY33" i="20"/>
  <c r="DZ33" i="20"/>
  <c r="EA33" i="20"/>
  <c r="EB33" i="20"/>
  <c r="EC33" i="20"/>
  <c r="ED33" i="20"/>
  <c r="EE33" i="20"/>
  <c r="EF33" i="20"/>
  <c r="EG33" i="20"/>
  <c r="EH33" i="20"/>
  <c r="EI33" i="20"/>
  <c r="EJ33" i="20"/>
  <c r="EK33" i="20"/>
  <c r="EL33" i="20"/>
  <c r="EM33" i="20"/>
  <c r="EN33" i="20"/>
  <c r="EO33" i="20"/>
  <c r="EP33" i="20"/>
  <c r="EQ33" i="20"/>
  <c r="ER33" i="20"/>
  <c r="ES33" i="20"/>
  <c r="ET33" i="20"/>
  <c r="EU33" i="20"/>
  <c r="EV33" i="20"/>
  <c r="EW33" i="20"/>
  <c r="EX33" i="20"/>
  <c r="EY33" i="20"/>
  <c r="EZ33" i="20"/>
  <c r="FA33" i="20"/>
  <c r="FB33" i="20"/>
  <c r="FC33" i="20"/>
  <c r="FD33" i="20"/>
  <c r="FE33" i="20"/>
  <c r="FF33" i="20"/>
  <c r="FG33" i="20"/>
  <c r="FH33" i="20"/>
  <c r="FI33" i="20"/>
  <c r="FJ33" i="20"/>
  <c r="FK33" i="20"/>
  <c r="FL33" i="20"/>
  <c r="FM33" i="20"/>
  <c r="FN33" i="20"/>
  <c r="FO33" i="20"/>
  <c r="FP33" i="20"/>
  <c r="FQ33" i="20"/>
  <c r="FR33" i="20"/>
  <c r="FS33" i="20"/>
  <c r="FT33" i="20"/>
  <c r="FU33" i="20"/>
  <c r="FV33" i="20"/>
  <c r="FW33" i="20"/>
  <c r="FX33" i="20"/>
  <c r="FY33" i="20"/>
  <c r="FZ33" i="20"/>
  <c r="GA33" i="20"/>
  <c r="GB33" i="20"/>
  <c r="GC33" i="20"/>
  <c r="GD33" i="20"/>
  <c r="GE33" i="20"/>
  <c r="GF33" i="20"/>
  <c r="GG33" i="20"/>
  <c r="GH33" i="20"/>
  <c r="GI33" i="20"/>
  <c r="GJ33" i="20"/>
  <c r="GK33" i="20"/>
  <c r="GL33" i="20"/>
  <c r="GM33" i="20"/>
  <c r="GN33" i="20"/>
  <c r="GO33" i="20"/>
  <c r="GP33" i="20"/>
  <c r="GQ33" i="20"/>
  <c r="GR33" i="20"/>
  <c r="GS33" i="20"/>
  <c r="GT33" i="20"/>
  <c r="GU33" i="20"/>
  <c r="GV33" i="20"/>
  <c r="GW33" i="20"/>
  <c r="GX33" i="20"/>
  <c r="GY33" i="20"/>
  <c r="GZ33" i="20"/>
  <c r="HA33" i="20"/>
  <c r="HB33" i="20"/>
  <c r="HC33" i="20"/>
  <c r="HD33" i="20"/>
  <c r="HE33" i="20"/>
  <c r="HF33" i="20"/>
  <c r="HG33" i="20"/>
  <c r="HH33" i="20"/>
  <c r="HI33" i="20"/>
  <c r="HJ33" i="20"/>
  <c r="HK33" i="20"/>
  <c r="HL33" i="20"/>
  <c r="HM33" i="20"/>
  <c r="HN33" i="20"/>
  <c r="HO33" i="20"/>
  <c r="HP33" i="20"/>
  <c r="HQ33" i="20"/>
  <c r="HR33" i="20"/>
  <c r="HS33" i="20"/>
  <c r="HT33" i="20"/>
  <c r="HU33" i="20"/>
  <c r="HV33" i="20"/>
  <c r="HW33" i="20"/>
  <c r="HX33" i="20"/>
  <c r="HY33" i="20"/>
  <c r="HZ33" i="20"/>
  <c r="IA33" i="20"/>
  <c r="IB33" i="20"/>
  <c r="IC33" i="20"/>
  <c r="ID33" i="20"/>
  <c r="IE33" i="20"/>
  <c r="IF33" i="20"/>
  <c r="IG33" i="20"/>
  <c r="IH33" i="20"/>
  <c r="II33" i="20"/>
  <c r="IJ33" i="20"/>
  <c r="IK33" i="20"/>
  <c r="IL33" i="20"/>
  <c r="IM33" i="20"/>
  <c r="IN33" i="20"/>
  <c r="IO33" i="20"/>
  <c r="IP33" i="20"/>
  <c r="IQ33" i="20"/>
  <c r="IR33" i="20"/>
  <c r="IS33" i="20"/>
  <c r="IT33" i="20"/>
  <c r="IU33" i="20"/>
  <c r="IV33" i="20"/>
  <c r="A32" i="20"/>
  <c r="B32" i="20"/>
  <c r="C32" i="20"/>
  <c r="D32" i="20"/>
  <c r="E32" i="20"/>
  <c r="F32" i="20"/>
  <c r="G32" i="20"/>
  <c r="H32" i="20"/>
  <c r="I32" i="20"/>
  <c r="J32" i="20"/>
  <c r="K32" i="20"/>
  <c r="L32" i="20"/>
  <c r="M32" i="20"/>
  <c r="N32" i="20"/>
  <c r="O32" i="20"/>
  <c r="P32" i="20"/>
  <c r="R32" i="20"/>
  <c r="T32" i="20"/>
  <c r="AB32" i="20"/>
  <c r="AC32" i="20"/>
  <c r="AD32" i="20"/>
  <c r="AE32" i="20"/>
  <c r="AF32" i="20"/>
  <c r="AG32" i="20"/>
  <c r="AH32" i="20"/>
  <c r="AI32" i="20"/>
  <c r="AJ32" i="20"/>
  <c r="AK32" i="20"/>
  <c r="AL32" i="20"/>
  <c r="AM32" i="20"/>
  <c r="AN32" i="20"/>
  <c r="AO32" i="20"/>
  <c r="AP32" i="20"/>
  <c r="AQ32" i="20"/>
  <c r="AR32" i="20"/>
  <c r="AS32" i="20"/>
  <c r="AT32" i="20"/>
  <c r="AU32" i="20"/>
  <c r="AV32" i="20"/>
  <c r="AW32" i="20"/>
  <c r="AX32" i="20"/>
  <c r="AY32" i="20"/>
  <c r="AZ32" i="20"/>
  <c r="BA32" i="20"/>
  <c r="BB32" i="20"/>
  <c r="BC32" i="20"/>
  <c r="BD32" i="20"/>
  <c r="BE32" i="20"/>
  <c r="BF32" i="20"/>
  <c r="BG32" i="20"/>
  <c r="BH32" i="20"/>
  <c r="BI32" i="20"/>
  <c r="BJ32" i="20"/>
  <c r="BK32" i="20"/>
  <c r="BL32" i="20"/>
  <c r="BM32" i="20"/>
  <c r="BN32" i="20"/>
  <c r="BO32" i="20"/>
  <c r="BP32" i="20"/>
  <c r="BQ32" i="20"/>
  <c r="BR32" i="20"/>
  <c r="BS32" i="20"/>
  <c r="BT32" i="20"/>
  <c r="BU32" i="20"/>
  <c r="BV32" i="20"/>
  <c r="BW32" i="20"/>
  <c r="BX32" i="20"/>
  <c r="BY32" i="20"/>
  <c r="BZ32" i="20"/>
  <c r="CA32" i="20"/>
  <c r="CB32" i="20"/>
  <c r="CC32" i="20"/>
  <c r="CD32" i="20"/>
  <c r="CE32" i="20"/>
  <c r="CF32" i="20"/>
  <c r="CG32" i="20"/>
  <c r="CH32" i="20"/>
  <c r="CI32" i="20"/>
  <c r="CJ32" i="20"/>
  <c r="CK32" i="20"/>
  <c r="CL32" i="20"/>
  <c r="CM32" i="20"/>
  <c r="CN32" i="20"/>
  <c r="CO32" i="20"/>
  <c r="CP32" i="20"/>
  <c r="CQ32" i="20"/>
  <c r="CR32" i="20"/>
  <c r="CS32" i="20"/>
  <c r="CT32" i="20"/>
  <c r="CU32" i="20"/>
  <c r="CV32" i="20"/>
  <c r="CW32" i="20"/>
  <c r="CX32" i="20"/>
  <c r="CY32" i="20"/>
  <c r="CZ32" i="20"/>
  <c r="DA32" i="20"/>
  <c r="DB32" i="20"/>
  <c r="DC32" i="20"/>
  <c r="DD32" i="20"/>
  <c r="DE32" i="20"/>
  <c r="DF32" i="20"/>
  <c r="DG32" i="20"/>
  <c r="DH32" i="20"/>
  <c r="DI32" i="20"/>
  <c r="DJ32" i="20"/>
  <c r="DK32" i="20"/>
  <c r="DL32" i="20"/>
  <c r="DM32" i="20"/>
  <c r="DN32" i="20"/>
  <c r="DO32" i="20"/>
  <c r="DP32" i="20"/>
  <c r="DQ32" i="20"/>
  <c r="DR32" i="20"/>
  <c r="DS32" i="20"/>
  <c r="DT32" i="20"/>
  <c r="DU32" i="20"/>
  <c r="DV32" i="20"/>
  <c r="DW32" i="20"/>
  <c r="DX32" i="20"/>
  <c r="DY32" i="20"/>
  <c r="DZ32" i="20"/>
  <c r="EA32" i="20"/>
  <c r="EB32" i="20"/>
  <c r="EC32" i="20"/>
  <c r="ED32" i="20"/>
  <c r="EE32" i="20"/>
  <c r="EF32" i="20"/>
  <c r="EG32" i="20"/>
  <c r="EH32" i="20"/>
  <c r="EI32" i="20"/>
  <c r="EJ32" i="20"/>
  <c r="EK32" i="20"/>
  <c r="EL32" i="20"/>
  <c r="EM32" i="20"/>
  <c r="EN32" i="20"/>
  <c r="EO32" i="20"/>
  <c r="EP32" i="20"/>
  <c r="EQ32" i="20"/>
  <c r="ER32" i="20"/>
  <c r="ES32" i="20"/>
  <c r="ET32" i="20"/>
  <c r="EU32" i="20"/>
  <c r="EV32" i="20"/>
  <c r="EW32" i="20"/>
  <c r="EX32" i="20"/>
  <c r="EY32" i="20"/>
  <c r="EZ32" i="20"/>
  <c r="FA32" i="20"/>
  <c r="FB32" i="20"/>
  <c r="FC32" i="20"/>
  <c r="FD32" i="20"/>
  <c r="FE32" i="20"/>
  <c r="FF32" i="20"/>
  <c r="FG32" i="20"/>
  <c r="FH32" i="20"/>
  <c r="FI32" i="20"/>
  <c r="FJ32" i="20"/>
  <c r="FK32" i="20"/>
  <c r="FL32" i="20"/>
  <c r="FM32" i="20"/>
  <c r="FN32" i="20"/>
  <c r="FO32" i="20"/>
  <c r="FP32" i="20"/>
  <c r="FQ32" i="20"/>
  <c r="FR32" i="20"/>
  <c r="FS32" i="20"/>
  <c r="FT32" i="20"/>
  <c r="FU32" i="20"/>
  <c r="FV32" i="20"/>
  <c r="FW32" i="20"/>
  <c r="FX32" i="20"/>
  <c r="FY32" i="20"/>
  <c r="FZ32" i="20"/>
  <c r="GA32" i="20"/>
  <c r="GB32" i="20"/>
  <c r="GC32" i="20"/>
  <c r="GD32" i="20"/>
  <c r="GE32" i="20"/>
  <c r="GF32" i="20"/>
  <c r="GG32" i="20"/>
  <c r="GH32" i="20"/>
  <c r="GI32" i="20"/>
  <c r="GJ32" i="20"/>
  <c r="GK32" i="20"/>
  <c r="GL32" i="20"/>
  <c r="GM32" i="20"/>
  <c r="GN32" i="20"/>
  <c r="GO32" i="20"/>
  <c r="GP32" i="20"/>
  <c r="GQ32" i="20"/>
  <c r="GR32" i="20"/>
  <c r="GS32" i="20"/>
  <c r="GT32" i="20"/>
  <c r="GU32" i="20"/>
  <c r="GV32" i="20"/>
  <c r="GW32" i="20"/>
  <c r="GX32" i="20"/>
  <c r="GY32" i="20"/>
  <c r="GZ32" i="20"/>
  <c r="HA32" i="20"/>
  <c r="HB32" i="20"/>
  <c r="HC32" i="20"/>
  <c r="HD32" i="20"/>
  <c r="HE32" i="20"/>
  <c r="HF32" i="20"/>
  <c r="HG32" i="20"/>
  <c r="HH32" i="20"/>
  <c r="HI32" i="20"/>
  <c r="HJ32" i="20"/>
  <c r="HK32" i="20"/>
  <c r="HL32" i="20"/>
  <c r="HM32" i="20"/>
  <c r="HN32" i="20"/>
  <c r="HO32" i="20"/>
  <c r="HP32" i="20"/>
  <c r="HQ32" i="20"/>
  <c r="HR32" i="20"/>
  <c r="HS32" i="20"/>
  <c r="HT32" i="20"/>
  <c r="HU32" i="20"/>
  <c r="HV32" i="20"/>
  <c r="HW32" i="20"/>
  <c r="HX32" i="20"/>
  <c r="HY32" i="20"/>
  <c r="HZ32" i="20"/>
  <c r="IA32" i="20"/>
  <c r="IB32" i="20"/>
  <c r="IC32" i="20"/>
  <c r="ID32" i="20"/>
  <c r="IE32" i="20"/>
  <c r="IF32" i="20"/>
  <c r="IG32" i="20"/>
  <c r="IH32" i="20"/>
  <c r="II32" i="20"/>
  <c r="IJ32" i="20"/>
  <c r="IK32" i="20"/>
  <c r="IL32" i="20"/>
  <c r="IM32" i="20"/>
  <c r="IN32" i="20"/>
  <c r="IO32" i="20"/>
  <c r="IP32" i="20"/>
  <c r="IQ32" i="20"/>
  <c r="IR32" i="20"/>
  <c r="IS32" i="20"/>
  <c r="IT32" i="20"/>
  <c r="IU32" i="20"/>
  <c r="IV32" i="20"/>
  <c r="A31" i="20"/>
  <c r="B31"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G31" i="20"/>
  <c r="AH31" i="20"/>
  <c r="AI31" i="20"/>
  <c r="AJ31" i="20"/>
  <c r="AK31" i="20"/>
  <c r="AL31" i="20"/>
  <c r="AM31" i="20"/>
  <c r="AN31" i="20"/>
  <c r="AO31" i="20"/>
  <c r="AP31" i="20"/>
  <c r="AQ31" i="20"/>
  <c r="AR31" i="20"/>
  <c r="AS31" i="20"/>
  <c r="AT31" i="20"/>
  <c r="AU31" i="20"/>
  <c r="AV31" i="20"/>
  <c r="AW31" i="20"/>
  <c r="AX31" i="20"/>
  <c r="AY31" i="20"/>
  <c r="AZ31" i="20"/>
  <c r="BA31" i="20"/>
  <c r="BB31" i="20"/>
  <c r="BC31" i="20"/>
  <c r="BD31" i="20"/>
  <c r="BE31" i="20"/>
  <c r="BF31" i="20"/>
  <c r="BG31" i="20"/>
  <c r="BH31" i="20"/>
  <c r="BI31" i="20"/>
  <c r="BJ31" i="20"/>
  <c r="BK31" i="20"/>
  <c r="BL31" i="20"/>
  <c r="BM31" i="20"/>
  <c r="BN31" i="20"/>
  <c r="BO31" i="20"/>
  <c r="BP31" i="20"/>
  <c r="BQ31" i="20"/>
  <c r="BR31" i="20"/>
  <c r="BS31" i="20"/>
  <c r="BT31" i="20"/>
  <c r="BU31" i="20"/>
  <c r="BV31" i="20"/>
  <c r="BW31" i="20"/>
  <c r="BX31" i="20"/>
  <c r="BY31" i="20"/>
  <c r="BZ31" i="20"/>
  <c r="CA31" i="20"/>
  <c r="CB31" i="20"/>
  <c r="CC31" i="20"/>
  <c r="CD31" i="20"/>
  <c r="CE31" i="20"/>
  <c r="CF31" i="20"/>
  <c r="CG31" i="20"/>
  <c r="CH31" i="20"/>
  <c r="CI31" i="20"/>
  <c r="CJ31" i="20"/>
  <c r="CK31" i="20"/>
  <c r="CL31" i="20"/>
  <c r="CM31" i="20"/>
  <c r="CN31" i="20"/>
  <c r="CO31" i="20"/>
  <c r="CP31" i="20"/>
  <c r="CQ31" i="20"/>
  <c r="CR31" i="20"/>
  <c r="CS31" i="20"/>
  <c r="CT31" i="20"/>
  <c r="CU31" i="20"/>
  <c r="CV31" i="20"/>
  <c r="CW31" i="20"/>
  <c r="CX31" i="20"/>
  <c r="CY31" i="20"/>
  <c r="CZ31" i="20"/>
  <c r="DA31" i="20"/>
  <c r="DB31" i="20"/>
  <c r="DC31" i="20"/>
  <c r="DD31" i="20"/>
  <c r="DE31" i="20"/>
  <c r="DF31" i="20"/>
  <c r="DG31" i="20"/>
  <c r="DH31" i="20"/>
  <c r="DI31" i="20"/>
  <c r="DJ31" i="20"/>
  <c r="DK31" i="20"/>
  <c r="DL31" i="20"/>
  <c r="DM31" i="20"/>
  <c r="DN31" i="20"/>
  <c r="DO31" i="20"/>
  <c r="DP31" i="20"/>
  <c r="DQ31" i="20"/>
  <c r="DR31" i="20"/>
  <c r="DS31" i="20"/>
  <c r="DT31" i="20"/>
  <c r="DU31" i="20"/>
  <c r="DV31" i="20"/>
  <c r="DW31" i="20"/>
  <c r="DX31" i="20"/>
  <c r="DY31" i="20"/>
  <c r="DZ31" i="20"/>
  <c r="EA31" i="20"/>
  <c r="EB31" i="20"/>
  <c r="EC31" i="20"/>
  <c r="ED31" i="20"/>
  <c r="EE31" i="20"/>
  <c r="EF31" i="20"/>
  <c r="EG31" i="20"/>
  <c r="EH31" i="20"/>
  <c r="EI31" i="20"/>
  <c r="EJ31" i="20"/>
  <c r="EK31" i="20"/>
  <c r="EL31" i="20"/>
  <c r="EM31" i="20"/>
  <c r="EN31" i="20"/>
  <c r="EO31" i="20"/>
  <c r="EP31" i="20"/>
  <c r="EQ31" i="20"/>
  <c r="ER31" i="20"/>
  <c r="ES31" i="20"/>
  <c r="ET31" i="20"/>
  <c r="EU31" i="20"/>
  <c r="EV31" i="20"/>
  <c r="EW31" i="20"/>
  <c r="EX31" i="20"/>
  <c r="EY31" i="20"/>
  <c r="EZ31" i="20"/>
  <c r="FA31" i="20"/>
  <c r="FB31" i="20"/>
  <c r="FC31" i="20"/>
  <c r="FD31" i="20"/>
  <c r="FE31" i="20"/>
  <c r="FF31" i="20"/>
  <c r="FG31" i="20"/>
  <c r="FH31" i="20"/>
  <c r="FI31" i="20"/>
  <c r="FJ31" i="20"/>
  <c r="FK31" i="20"/>
  <c r="FL31" i="20"/>
  <c r="FM31" i="20"/>
  <c r="FN31" i="20"/>
  <c r="FO31" i="20"/>
  <c r="FP31" i="20"/>
  <c r="FQ31" i="20"/>
  <c r="FR31" i="20"/>
  <c r="FS31" i="20"/>
  <c r="FT31" i="20"/>
  <c r="FU31" i="20"/>
  <c r="FV31" i="20"/>
  <c r="FW31" i="20"/>
  <c r="FX31" i="20"/>
  <c r="FY31" i="20"/>
  <c r="FZ31" i="20"/>
  <c r="GA31" i="20"/>
  <c r="GB31" i="20"/>
  <c r="GC31" i="20"/>
  <c r="GD31" i="20"/>
  <c r="GE31" i="20"/>
  <c r="GF31" i="20"/>
  <c r="GG31" i="20"/>
  <c r="GH31" i="20"/>
  <c r="GI31" i="20"/>
  <c r="GJ31" i="20"/>
  <c r="GK31" i="20"/>
  <c r="GL31" i="20"/>
  <c r="GM31" i="20"/>
  <c r="GN31" i="20"/>
  <c r="GO31" i="20"/>
  <c r="GP31" i="20"/>
  <c r="GQ31" i="20"/>
  <c r="GR31" i="20"/>
  <c r="GS31" i="20"/>
  <c r="GT31" i="20"/>
  <c r="GU31" i="20"/>
  <c r="GV31" i="20"/>
  <c r="GW31" i="20"/>
  <c r="GX31" i="20"/>
  <c r="GY31" i="20"/>
  <c r="GZ31" i="20"/>
  <c r="HA31" i="20"/>
  <c r="HB31" i="20"/>
  <c r="HC31" i="20"/>
  <c r="HD31" i="20"/>
  <c r="HE31" i="20"/>
  <c r="HF31" i="20"/>
  <c r="HG31" i="20"/>
  <c r="HH31" i="20"/>
  <c r="HI31" i="20"/>
  <c r="HJ31" i="20"/>
  <c r="HK31" i="20"/>
  <c r="HL31" i="20"/>
  <c r="HM31" i="20"/>
  <c r="HN31" i="20"/>
  <c r="HO31" i="20"/>
  <c r="HP31" i="20"/>
  <c r="HQ31" i="20"/>
  <c r="HR31" i="20"/>
  <c r="HS31" i="20"/>
  <c r="HT31" i="20"/>
  <c r="HU31" i="20"/>
  <c r="HV31" i="20"/>
  <c r="HW31" i="20"/>
  <c r="HX31" i="20"/>
  <c r="HY31" i="20"/>
  <c r="HZ31" i="20"/>
  <c r="IA31" i="20"/>
  <c r="IB31" i="20"/>
  <c r="IC31" i="20"/>
  <c r="ID31" i="20"/>
  <c r="IE31" i="20"/>
  <c r="IF31" i="20"/>
  <c r="IG31" i="20"/>
  <c r="IH31" i="20"/>
  <c r="II31" i="20"/>
  <c r="IJ31" i="20"/>
  <c r="IK31" i="20"/>
  <c r="IL31" i="20"/>
  <c r="IM31" i="20"/>
  <c r="IN31" i="20"/>
  <c r="IO31" i="20"/>
  <c r="IP31" i="20"/>
  <c r="IQ31" i="20"/>
  <c r="IR31" i="20"/>
  <c r="IS31" i="20"/>
  <c r="IT31" i="20"/>
  <c r="IU31" i="20"/>
  <c r="IV31" i="20"/>
  <c r="A30"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G30" i="20"/>
  <c r="AH30" i="20"/>
  <c r="AI30" i="20"/>
  <c r="AJ30" i="20"/>
  <c r="AK30" i="20"/>
  <c r="AL30" i="20"/>
  <c r="AM30" i="20"/>
  <c r="AN30" i="20"/>
  <c r="AO30" i="20"/>
  <c r="AP30" i="20"/>
  <c r="AQ30" i="20"/>
  <c r="AR30" i="20"/>
  <c r="AS30" i="20"/>
  <c r="AT30" i="20"/>
  <c r="AU30" i="20"/>
  <c r="AV30" i="20"/>
  <c r="AW30" i="20"/>
  <c r="AX30" i="20"/>
  <c r="AY30" i="20"/>
  <c r="AZ30" i="20"/>
  <c r="BA30" i="20"/>
  <c r="BB30" i="20"/>
  <c r="BC30" i="20"/>
  <c r="BD30" i="20"/>
  <c r="BE30" i="20"/>
  <c r="BF30" i="20"/>
  <c r="BG30" i="20"/>
  <c r="BH30" i="20"/>
  <c r="BI30" i="20"/>
  <c r="BJ30" i="20"/>
  <c r="BK30" i="20"/>
  <c r="BL30" i="20"/>
  <c r="BM30" i="20"/>
  <c r="BN30" i="20"/>
  <c r="BO30" i="20"/>
  <c r="BP30" i="20"/>
  <c r="BQ30" i="20"/>
  <c r="BR30" i="20"/>
  <c r="BS30" i="20"/>
  <c r="BT30" i="20"/>
  <c r="BU30" i="20"/>
  <c r="BV30" i="20"/>
  <c r="BW30" i="20"/>
  <c r="BX30" i="20"/>
  <c r="BY30" i="20"/>
  <c r="BZ30" i="20"/>
  <c r="CA30" i="20"/>
  <c r="CB30" i="20"/>
  <c r="CC30" i="20"/>
  <c r="CD30" i="20"/>
  <c r="CE30" i="20"/>
  <c r="CF30" i="20"/>
  <c r="CG30" i="20"/>
  <c r="CH30" i="20"/>
  <c r="CI30" i="20"/>
  <c r="CJ30" i="20"/>
  <c r="CK30" i="20"/>
  <c r="CL30" i="20"/>
  <c r="CM30" i="20"/>
  <c r="CN30" i="20"/>
  <c r="CO30" i="20"/>
  <c r="CP30" i="20"/>
  <c r="CQ30" i="20"/>
  <c r="CR30" i="20"/>
  <c r="CS30" i="20"/>
  <c r="CT30" i="20"/>
  <c r="CU30" i="20"/>
  <c r="CV30" i="20"/>
  <c r="CW30" i="20"/>
  <c r="CX30" i="20"/>
  <c r="CY30" i="20"/>
  <c r="CZ30" i="20"/>
  <c r="DA30" i="20"/>
  <c r="DB30" i="20"/>
  <c r="DC30" i="20"/>
  <c r="DD30" i="20"/>
  <c r="DE30" i="20"/>
  <c r="DF30" i="20"/>
  <c r="DG30" i="20"/>
  <c r="DH30" i="20"/>
  <c r="DI30" i="20"/>
  <c r="DJ30" i="20"/>
  <c r="DK30" i="20"/>
  <c r="DL30" i="20"/>
  <c r="DM30" i="20"/>
  <c r="DN30" i="20"/>
  <c r="DO30" i="20"/>
  <c r="DP30" i="20"/>
  <c r="DQ30" i="20"/>
  <c r="DR30" i="20"/>
  <c r="DS30" i="20"/>
  <c r="DT30" i="20"/>
  <c r="DU30" i="20"/>
  <c r="DV30" i="20"/>
  <c r="DW30" i="20"/>
  <c r="DX30" i="20"/>
  <c r="DY30" i="20"/>
  <c r="DZ30" i="20"/>
  <c r="EA30" i="20"/>
  <c r="EB30" i="20"/>
  <c r="EC30" i="20"/>
  <c r="ED30" i="20"/>
  <c r="EE30" i="20"/>
  <c r="EF30" i="20"/>
  <c r="EG30" i="20"/>
  <c r="EH30" i="20"/>
  <c r="EI30" i="20"/>
  <c r="EJ30" i="20"/>
  <c r="EK30" i="20"/>
  <c r="EL30" i="20"/>
  <c r="EM30" i="20"/>
  <c r="EN30" i="20"/>
  <c r="EO30" i="20"/>
  <c r="EP30" i="20"/>
  <c r="EQ30" i="20"/>
  <c r="ER30" i="20"/>
  <c r="ES30" i="20"/>
  <c r="ET30" i="20"/>
  <c r="EU30" i="20"/>
  <c r="EV30" i="20"/>
  <c r="EW30" i="20"/>
  <c r="EX30" i="20"/>
  <c r="EY30" i="20"/>
  <c r="EZ30" i="20"/>
  <c r="FA30" i="20"/>
  <c r="FB30" i="20"/>
  <c r="FC30" i="20"/>
  <c r="FD30" i="20"/>
  <c r="FE30" i="20"/>
  <c r="FF30" i="20"/>
  <c r="FG30" i="20"/>
  <c r="FH30" i="20"/>
  <c r="FI30" i="20"/>
  <c r="FJ30" i="20"/>
  <c r="FK30" i="20"/>
  <c r="FL30" i="20"/>
  <c r="FM30" i="20"/>
  <c r="FN30" i="20"/>
  <c r="FO30" i="20"/>
  <c r="FP30" i="20"/>
  <c r="FQ30" i="20"/>
  <c r="FR30" i="20"/>
  <c r="FS30" i="20"/>
  <c r="FT30" i="20"/>
  <c r="FU30" i="20"/>
  <c r="FV30" i="20"/>
  <c r="FW30" i="20"/>
  <c r="FX30" i="20"/>
  <c r="FY30" i="20"/>
  <c r="FZ30" i="20"/>
  <c r="GA30" i="20"/>
  <c r="GB30" i="20"/>
  <c r="GC30" i="20"/>
  <c r="GD30" i="20"/>
  <c r="GE30" i="20"/>
  <c r="GF30" i="20"/>
  <c r="GG30" i="20"/>
  <c r="GH30" i="20"/>
  <c r="GI30" i="20"/>
  <c r="GJ30" i="20"/>
  <c r="GK30" i="20"/>
  <c r="GL30" i="20"/>
  <c r="GM30" i="20"/>
  <c r="GN30" i="20"/>
  <c r="GO30" i="20"/>
  <c r="GP30" i="20"/>
  <c r="GQ30" i="20"/>
  <c r="GR30" i="20"/>
  <c r="GS30" i="20"/>
  <c r="GT30" i="20"/>
  <c r="GU30" i="20"/>
  <c r="GV30" i="20"/>
  <c r="GW30" i="20"/>
  <c r="GX30" i="20"/>
  <c r="GY30" i="20"/>
  <c r="GZ30" i="20"/>
  <c r="HA30" i="20"/>
  <c r="HB30" i="20"/>
  <c r="HC30" i="20"/>
  <c r="HD30" i="20"/>
  <c r="HE30" i="20"/>
  <c r="HF30" i="20"/>
  <c r="HG30" i="20"/>
  <c r="HH30" i="20"/>
  <c r="HI30" i="20"/>
  <c r="HJ30" i="20"/>
  <c r="HK30" i="20"/>
  <c r="HL30" i="20"/>
  <c r="HM30" i="20"/>
  <c r="HN30" i="20"/>
  <c r="HO30" i="20"/>
  <c r="HP30" i="20"/>
  <c r="HQ30" i="20"/>
  <c r="HR30" i="20"/>
  <c r="HS30" i="20"/>
  <c r="HT30" i="20"/>
  <c r="HU30" i="20"/>
  <c r="HV30" i="20"/>
  <c r="HW30" i="20"/>
  <c r="HX30" i="20"/>
  <c r="HY30" i="20"/>
  <c r="HZ30" i="20"/>
  <c r="IA30" i="20"/>
  <c r="IB30" i="20"/>
  <c r="IC30" i="20"/>
  <c r="ID30" i="20"/>
  <c r="IE30" i="20"/>
  <c r="IF30" i="20"/>
  <c r="IG30" i="20"/>
  <c r="IH30" i="20"/>
  <c r="II30" i="20"/>
  <c r="IJ30" i="20"/>
  <c r="IK30" i="20"/>
  <c r="IL30" i="20"/>
  <c r="IM30" i="20"/>
  <c r="IN30" i="20"/>
  <c r="IO30" i="20"/>
  <c r="IP30" i="20"/>
  <c r="IQ30" i="20"/>
  <c r="IR30" i="20"/>
  <c r="IS30" i="20"/>
  <c r="IT30" i="20"/>
  <c r="IU30" i="20"/>
  <c r="IV30" i="20"/>
  <c r="A29"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G29" i="20"/>
  <c r="AH29" i="20"/>
  <c r="AI29" i="20"/>
  <c r="AJ29" i="20"/>
  <c r="AK29" i="20"/>
  <c r="AL29" i="20"/>
  <c r="AM29" i="20"/>
  <c r="AN29" i="20"/>
  <c r="AO29" i="20"/>
  <c r="AP29" i="20"/>
  <c r="AQ29" i="20"/>
  <c r="AR29" i="20"/>
  <c r="AS29" i="20"/>
  <c r="AT29" i="20"/>
  <c r="AU29" i="20"/>
  <c r="AV29" i="20"/>
  <c r="AW29" i="20"/>
  <c r="AX29" i="20"/>
  <c r="AY29" i="20"/>
  <c r="AZ29" i="20"/>
  <c r="BA29" i="20"/>
  <c r="BB29" i="20"/>
  <c r="BC29" i="20"/>
  <c r="BD29" i="20"/>
  <c r="BE29" i="20"/>
  <c r="BF29" i="20"/>
  <c r="BG29" i="20"/>
  <c r="BH29" i="20"/>
  <c r="BI29" i="20"/>
  <c r="BJ29" i="20"/>
  <c r="BK29" i="20"/>
  <c r="BL29" i="20"/>
  <c r="BM29" i="20"/>
  <c r="BN29" i="20"/>
  <c r="BO29" i="20"/>
  <c r="BP29" i="20"/>
  <c r="BQ29" i="20"/>
  <c r="BR29" i="20"/>
  <c r="BS29" i="20"/>
  <c r="BT29" i="20"/>
  <c r="BU29" i="20"/>
  <c r="BV29" i="20"/>
  <c r="BW29" i="20"/>
  <c r="BX29" i="20"/>
  <c r="BY29" i="20"/>
  <c r="BZ29" i="20"/>
  <c r="CA29" i="20"/>
  <c r="CB29" i="20"/>
  <c r="CC29" i="20"/>
  <c r="CD29" i="20"/>
  <c r="CE29" i="20"/>
  <c r="CF29" i="20"/>
  <c r="CG29" i="20"/>
  <c r="CH29" i="20"/>
  <c r="CI29" i="20"/>
  <c r="CJ29" i="20"/>
  <c r="CK29" i="20"/>
  <c r="CL29" i="20"/>
  <c r="CM29" i="20"/>
  <c r="CN29" i="20"/>
  <c r="CO29" i="20"/>
  <c r="CP29" i="20"/>
  <c r="CQ29" i="20"/>
  <c r="CR29" i="20"/>
  <c r="CS29" i="20"/>
  <c r="CT29" i="20"/>
  <c r="CU29" i="20"/>
  <c r="CV29" i="20"/>
  <c r="CW29" i="20"/>
  <c r="CX29" i="20"/>
  <c r="CY29" i="20"/>
  <c r="CZ29" i="20"/>
  <c r="DA29" i="20"/>
  <c r="DB29" i="20"/>
  <c r="DC29" i="20"/>
  <c r="DD29" i="20"/>
  <c r="DE29" i="20"/>
  <c r="DF29" i="20"/>
  <c r="DG29" i="20"/>
  <c r="DH29" i="20"/>
  <c r="DI29" i="20"/>
  <c r="DJ29" i="20"/>
  <c r="DK29" i="20"/>
  <c r="DL29" i="20"/>
  <c r="DM29" i="20"/>
  <c r="DN29" i="20"/>
  <c r="DO29" i="20"/>
  <c r="DP29" i="20"/>
  <c r="DQ29" i="20"/>
  <c r="DR29" i="20"/>
  <c r="DS29" i="20"/>
  <c r="DT29" i="20"/>
  <c r="DU29" i="20"/>
  <c r="DV29" i="20"/>
  <c r="DW29" i="20"/>
  <c r="DX29" i="20"/>
  <c r="DY29" i="20"/>
  <c r="DZ29" i="20"/>
  <c r="EA29" i="20"/>
  <c r="EB29" i="20"/>
  <c r="EC29" i="20"/>
  <c r="ED29" i="20"/>
  <c r="EE29" i="20"/>
  <c r="EF29" i="20"/>
  <c r="EG29" i="20"/>
  <c r="EH29" i="20"/>
  <c r="EI29" i="20"/>
  <c r="EJ29" i="20"/>
  <c r="EK29" i="20"/>
  <c r="EL29" i="20"/>
  <c r="EM29" i="20"/>
  <c r="EN29" i="20"/>
  <c r="EO29" i="20"/>
  <c r="EP29" i="20"/>
  <c r="EQ29" i="20"/>
  <c r="ER29" i="20"/>
  <c r="ES29" i="20"/>
  <c r="ET29" i="20"/>
  <c r="EU29" i="20"/>
  <c r="EV29" i="20"/>
  <c r="EW29" i="20"/>
  <c r="EX29" i="20"/>
  <c r="EY29" i="20"/>
  <c r="EZ29" i="20"/>
  <c r="FA29" i="20"/>
  <c r="FB29" i="20"/>
  <c r="FC29" i="20"/>
  <c r="FD29" i="20"/>
  <c r="FE29" i="20"/>
  <c r="FF29" i="20"/>
  <c r="FG29" i="20"/>
  <c r="FH29" i="20"/>
  <c r="FI29" i="20"/>
  <c r="FJ29" i="20"/>
  <c r="FK29" i="20"/>
  <c r="FL29" i="20"/>
  <c r="FM29" i="20"/>
  <c r="FN29" i="20"/>
  <c r="FO29" i="20"/>
  <c r="FP29" i="20"/>
  <c r="FQ29" i="20"/>
  <c r="FR29" i="20"/>
  <c r="FS29" i="20"/>
  <c r="FT29" i="20"/>
  <c r="FU29" i="20"/>
  <c r="FV29" i="20"/>
  <c r="FW29" i="20"/>
  <c r="FX29" i="20"/>
  <c r="FY29" i="20"/>
  <c r="FZ29" i="20"/>
  <c r="GA29" i="20"/>
  <c r="GB29" i="20"/>
  <c r="GC29" i="20"/>
  <c r="GD29" i="20"/>
  <c r="GE29" i="20"/>
  <c r="GF29" i="20"/>
  <c r="GG29" i="20"/>
  <c r="GH29" i="20"/>
  <c r="GI29" i="20"/>
  <c r="GJ29" i="20"/>
  <c r="GK29" i="20"/>
  <c r="GL29" i="20"/>
  <c r="GM29" i="20"/>
  <c r="GN29" i="20"/>
  <c r="GO29" i="20"/>
  <c r="GP29" i="20"/>
  <c r="GQ29" i="20"/>
  <c r="GR29" i="20"/>
  <c r="GS29" i="20"/>
  <c r="GT29" i="20"/>
  <c r="GU29" i="20"/>
  <c r="GV29" i="20"/>
  <c r="GW29" i="20"/>
  <c r="GX29" i="20"/>
  <c r="GY29" i="20"/>
  <c r="GZ29" i="20"/>
  <c r="HA29" i="20"/>
  <c r="HB29" i="20"/>
  <c r="HC29" i="20"/>
  <c r="HD29" i="20"/>
  <c r="HE29" i="20"/>
  <c r="HF29" i="20"/>
  <c r="HG29" i="20"/>
  <c r="HH29" i="20"/>
  <c r="HI29" i="20"/>
  <c r="HJ29" i="20"/>
  <c r="HK29" i="20"/>
  <c r="HL29" i="20"/>
  <c r="HM29" i="20"/>
  <c r="HN29" i="20"/>
  <c r="HO29" i="20"/>
  <c r="HP29" i="20"/>
  <c r="HQ29" i="20"/>
  <c r="HR29" i="20"/>
  <c r="HS29" i="20"/>
  <c r="HT29" i="20"/>
  <c r="HU29" i="20"/>
  <c r="HV29" i="20"/>
  <c r="HW29" i="20"/>
  <c r="HX29" i="20"/>
  <c r="HY29" i="20"/>
  <c r="HZ29" i="20"/>
  <c r="IA29" i="20"/>
  <c r="IB29" i="20"/>
  <c r="IC29" i="20"/>
  <c r="ID29" i="20"/>
  <c r="IE29" i="20"/>
  <c r="IF29" i="20"/>
  <c r="IG29" i="20"/>
  <c r="IH29" i="20"/>
  <c r="II29" i="20"/>
  <c r="IJ29" i="20"/>
  <c r="IK29" i="20"/>
  <c r="IL29" i="20"/>
  <c r="IM29" i="20"/>
  <c r="IN29" i="20"/>
  <c r="IO29" i="20"/>
  <c r="IP29" i="20"/>
  <c r="IQ29" i="20"/>
  <c r="IR29" i="20"/>
  <c r="IS29" i="20"/>
  <c r="IT29" i="20"/>
  <c r="IU29" i="20"/>
  <c r="IV29" i="20"/>
  <c r="A28"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G28" i="20"/>
  <c r="AH28" i="20"/>
  <c r="AI28" i="20"/>
  <c r="AJ28" i="20"/>
  <c r="AK28" i="20"/>
  <c r="AL28" i="20"/>
  <c r="AM28" i="20"/>
  <c r="AN28" i="20"/>
  <c r="AO28" i="20"/>
  <c r="AP28" i="20"/>
  <c r="AQ28" i="20"/>
  <c r="AR28" i="20"/>
  <c r="AS28" i="20"/>
  <c r="AT28" i="20"/>
  <c r="AU28" i="20"/>
  <c r="AV28" i="20"/>
  <c r="AW28" i="20"/>
  <c r="AX28" i="20"/>
  <c r="AY28" i="20"/>
  <c r="AZ28" i="20"/>
  <c r="BA28" i="20"/>
  <c r="BB28" i="20"/>
  <c r="BC28" i="20"/>
  <c r="BD28" i="20"/>
  <c r="BE28" i="20"/>
  <c r="BF28" i="20"/>
  <c r="BG28" i="20"/>
  <c r="BH28" i="20"/>
  <c r="BI28" i="20"/>
  <c r="BJ28" i="20"/>
  <c r="BK28" i="20"/>
  <c r="BL28" i="20"/>
  <c r="BM28" i="20"/>
  <c r="BN28" i="20"/>
  <c r="BO28" i="20"/>
  <c r="BP28" i="20"/>
  <c r="BQ28" i="20"/>
  <c r="BR28" i="20"/>
  <c r="BS28" i="20"/>
  <c r="BT28" i="20"/>
  <c r="BU28" i="20"/>
  <c r="BV28" i="20"/>
  <c r="BW28" i="20"/>
  <c r="BX28" i="20"/>
  <c r="BY28" i="20"/>
  <c r="BZ28" i="20"/>
  <c r="CA28" i="20"/>
  <c r="CB28" i="20"/>
  <c r="CC28" i="20"/>
  <c r="CD28" i="20"/>
  <c r="CE28" i="20"/>
  <c r="CF28" i="20"/>
  <c r="CG28" i="20"/>
  <c r="CH28" i="20"/>
  <c r="CI28" i="20"/>
  <c r="CJ28" i="20"/>
  <c r="CK28" i="20"/>
  <c r="CL28" i="20"/>
  <c r="CM28" i="20"/>
  <c r="CN28" i="20"/>
  <c r="CO28" i="20"/>
  <c r="CP28" i="20"/>
  <c r="CQ28" i="20"/>
  <c r="CR28" i="20"/>
  <c r="CS28" i="20"/>
  <c r="CT28" i="20"/>
  <c r="CU28" i="20"/>
  <c r="CV28" i="20"/>
  <c r="CW28" i="20"/>
  <c r="CX28" i="20"/>
  <c r="CY28" i="20"/>
  <c r="CZ28" i="20"/>
  <c r="DA28" i="20"/>
  <c r="DB28" i="20"/>
  <c r="DC28" i="20"/>
  <c r="DD28" i="20"/>
  <c r="DE28" i="20"/>
  <c r="DF28" i="20"/>
  <c r="DG28" i="20"/>
  <c r="DH28" i="20"/>
  <c r="DI28" i="20"/>
  <c r="DJ28" i="20"/>
  <c r="DK28" i="20"/>
  <c r="DL28" i="20"/>
  <c r="DM28" i="20"/>
  <c r="DN28" i="20"/>
  <c r="DO28" i="20"/>
  <c r="DP28" i="20"/>
  <c r="DQ28" i="20"/>
  <c r="DR28" i="20"/>
  <c r="DS28" i="20"/>
  <c r="DT28" i="20"/>
  <c r="DU28" i="20"/>
  <c r="DV28" i="20"/>
  <c r="DW28" i="20"/>
  <c r="DX28" i="20"/>
  <c r="DY28" i="20"/>
  <c r="DZ28" i="20"/>
  <c r="EA28" i="20"/>
  <c r="EB28" i="20"/>
  <c r="EC28" i="20"/>
  <c r="ED28" i="20"/>
  <c r="EE28" i="20"/>
  <c r="EF28" i="20"/>
  <c r="EG28" i="20"/>
  <c r="EH28" i="20"/>
  <c r="EI28" i="20"/>
  <c r="EJ28" i="20"/>
  <c r="EK28" i="20"/>
  <c r="EL28" i="20"/>
  <c r="EM28" i="20"/>
  <c r="EN28" i="20"/>
  <c r="EO28" i="20"/>
  <c r="EP28" i="20"/>
  <c r="EQ28" i="20"/>
  <c r="ER28" i="20"/>
  <c r="ES28" i="20"/>
  <c r="ET28" i="20"/>
  <c r="EU28" i="20"/>
  <c r="EV28" i="20"/>
  <c r="EW28" i="20"/>
  <c r="EX28" i="20"/>
  <c r="EY28" i="20"/>
  <c r="EZ28" i="20"/>
  <c r="FA28" i="20"/>
  <c r="FB28" i="20"/>
  <c r="FC28" i="20"/>
  <c r="FD28" i="20"/>
  <c r="FE28" i="20"/>
  <c r="FF28" i="20"/>
  <c r="FG28" i="20"/>
  <c r="FH28" i="20"/>
  <c r="FI28" i="20"/>
  <c r="FJ28" i="20"/>
  <c r="FK28" i="20"/>
  <c r="FL28" i="20"/>
  <c r="FM28" i="20"/>
  <c r="FN28" i="20"/>
  <c r="FO28" i="20"/>
  <c r="FP28" i="20"/>
  <c r="FQ28" i="20"/>
  <c r="FR28" i="20"/>
  <c r="FS28" i="20"/>
  <c r="FT28" i="20"/>
  <c r="FU28" i="20"/>
  <c r="FV28" i="20"/>
  <c r="FW28" i="20"/>
  <c r="FX28" i="20"/>
  <c r="FY28" i="20"/>
  <c r="FZ28" i="20"/>
  <c r="GA28" i="20"/>
  <c r="GB28" i="20"/>
  <c r="GC28" i="20"/>
  <c r="GD28" i="20"/>
  <c r="GE28" i="20"/>
  <c r="GF28" i="20"/>
  <c r="GG28" i="20"/>
  <c r="GH28" i="20"/>
  <c r="GI28" i="20"/>
  <c r="GJ28" i="20"/>
  <c r="GK28" i="20"/>
  <c r="GL28" i="20"/>
  <c r="GM28" i="20"/>
  <c r="GN28" i="20"/>
  <c r="GO28" i="20"/>
  <c r="GP28" i="20"/>
  <c r="GQ28" i="20"/>
  <c r="GR28" i="20"/>
  <c r="GS28" i="20"/>
  <c r="GT28" i="20"/>
  <c r="GU28" i="20"/>
  <c r="GV28" i="20"/>
  <c r="GW28" i="20"/>
  <c r="GX28" i="20"/>
  <c r="GY28" i="20"/>
  <c r="GZ28" i="20"/>
  <c r="HA28" i="20"/>
  <c r="HB28" i="20"/>
  <c r="HC28" i="20"/>
  <c r="HD28" i="20"/>
  <c r="HE28" i="20"/>
  <c r="HF28" i="20"/>
  <c r="HG28" i="20"/>
  <c r="HH28" i="20"/>
  <c r="HI28" i="20"/>
  <c r="HJ28" i="20"/>
  <c r="HK28" i="20"/>
  <c r="HL28" i="20"/>
  <c r="HM28" i="20"/>
  <c r="HN28" i="20"/>
  <c r="HO28" i="20"/>
  <c r="HP28" i="20"/>
  <c r="HQ28" i="20"/>
  <c r="HR28" i="20"/>
  <c r="HS28" i="20"/>
  <c r="HT28" i="20"/>
  <c r="HU28" i="20"/>
  <c r="HV28" i="20"/>
  <c r="HW28" i="20"/>
  <c r="HX28" i="20"/>
  <c r="HY28" i="20"/>
  <c r="HZ28" i="20"/>
  <c r="IA28" i="20"/>
  <c r="IB28" i="20"/>
  <c r="IC28" i="20"/>
  <c r="ID28" i="20"/>
  <c r="IE28" i="20"/>
  <c r="IF28" i="20"/>
  <c r="IG28" i="20"/>
  <c r="IH28" i="20"/>
  <c r="II28" i="20"/>
  <c r="IJ28" i="20"/>
  <c r="IK28" i="20"/>
  <c r="IL28" i="20"/>
  <c r="IM28" i="20"/>
  <c r="IN28" i="20"/>
  <c r="IO28" i="20"/>
  <c r="IP28" i="20"/>
  <c r="IQ28" i="20"/>
  <c r="IR28" i="20"/>
  <c r="IS28" i="20"/>
  <c r="IT28" i="20"/>
  <c r="IU28" i="20"/>
  <c r="IV28" i="20"/>
  <c r="A27" i="20"/>
  <c r="B27" i="20"/>
  <c r="C27" i="20"/>
  <c r="D27" i="20"/>
  <c r="E27" i="20"/>
  <c r="F27" i="20"/>
  <c r="G27" i="20"/>
  <c r="H27" i="20"/>
  <c r="I27" i="20"/>
  <c r="J27" i="20"/>
  <c r="K27" i="20"/>
  <c r="M27" i="20"/>
  <c r="N27" i="20"/>
  <c r="O27" i="20"/>
  <c r="P27" i="20"/>
  <c r="Q27" i="20"/>
  <c r="R27" i="20"/>
  <c r="S27" i="20"/>
  <c r="T27" i="20"/>
  <c r="U27" i="20"/>
  <c r="V27" i="20"/>
  <c r="W27" i="20"/>
  <c r="X27" i="20"/>
  <c r="Y27" i="20"/>
  <c r="Z27" i="20"/>
  <c r="AA27" i="20"/>
  <c r="AB27" i="20"/>
  <c r="AC27" i="20"/>
  <c r="AD27" i="20"/>
  <c r="AE27" i="20"/>
  <c r="AF27" i="20"/>
  <c r="AG27" i="20"/>
  <c r="AH27" i="20"/>
  <c r="AI27" i="20"/>
  <c r="AJ27" i="20"/>
  <c r="AK27" i="20"/>
  <c r="AL27" i="20"/>
  <c r="AM27" i="20"/>
  <c r="AN27" i="20"/>
  <c r="AO27" i="20"/>
  <c r="AP27" i="20"/>
  <c r="AQ27" i="20"/>
  <c r="AR27" i="20"/>
  <c r="AS27" i="20"/>
  <c r="AT27" i="20"/>
  <c r="AU27" i="20"/>
  <c r="AV27" i="20"/>
  <c r="AW27" i="20"/>
  <c r="AX27" i="20"/>
  <c r="AY27" i="20"/>
  <c r="AZ27" i="20"/>
  <c r="BA27" i="20"/>
  <c r="BB27" i="20"/>
  <c r="BC27" i="20"/>
  <c r="BD27" i="20"/>
  <c r="BE27" i="20"/>
  <c r="BF27" i="20"/>
  <c r="BG27" i="20"/>
  <c r="BH27" i="20"/>
  <c r="BI27" i="20"/>
  <c r="BJ27" i="20"/>
  <c r="BK27" i="20"/>
  <c r="BL27" i="20"/>
  <c r="BM27" i="20"/>
  <c r="BN27" i="20"/>
  <c r="BO27" i="20"/>
  <c r="BP27" i="20"/>
  <c r="BQ27" i="20"/>
  <c r="BR27" i="20"/>
  <c r="BS27" i="20"/>
  <c r="BT27" i="20"/>
  <c r="BU27" i="20"/>
  <c r="BV27" i="20"/>
  <c r="BW27" i="20"/>
  <c r="BX27" i="20"/>
  <c r="BY27" i="20"/>
  <c r="BZ27" i="20"/>
  <c r="CA27" i="20"/>
  <c r="CB27" i="20"/>
  <c r="CC27" i="20"/>
  <c r="CD27" i="20"/>
  <c r="CE27" i="20"/>
  <c r="CF27" i="20"/>
  <c r="CG27" i="20"/>
  <c r="CH27" i="20"/>
  <c r="CI27" i="20"/>
  <c r="CJ27" i="20"/>
  <c r="CK27" i="20"/>
  <c r="CL27" i="20"/>
  <c r="CM27" i="20"/>
  <c r="CN27" i="20"/>
  <c r="CO27" i="20"/>
  <c r="CP27" i="20"/>
  <c r="CQ27" i="20"/>
  <c r="CR27" i="20"/>
  <c r="CS27" i="20"/>
  <c r="CT27" i="20"/>
  <c r="CU27" i="20"/>
  <c r="CV27" i="20"/>
  <c r="CW27" i="20"/>
  <c r="CX27" i="20"/>
  <c r="CY27" i="20"/>
  <c r="CZ27" i="20"/>
  <c r="DA27" i="20"/>
  <c r="DB27" i="20"/>
  <c r="DC27" i="20"/>
  <c r="DD27" i="20"/>
  <c r="DE27" i="20"/>
  <c r="DF27" i="20"/>
  <c r="DG27" i="20"/>
  <c r="DH27" i="20"/>
  <c r="DI27" i="20"/>
  <c r="DJ27" i="20"/>
  <c r="DK27" i="20"/>
  <c r="DL27" i="20"/>
  <c r="DM27" i="20"/>
  <c r="DN27" i="20"/>
  <c r="DO27" i="20"/>
  <c r="DP27" i="20"/>
  <c r="DQ27" i="20"/>
  <c r="DR27" i="20"/>
  <c r="DS27" i="20"/>
  <c r="DT27" i="20"/>
  <c r="DU27" i="20"/>
  <c r="DV27" i="20"/>
  <c r="DW27" i="20"/>
  <c r="DX27" i="20"/>
  <c r="DY27" i="20"/>
  <c r="DZ27" i="20"/>
  <c r="EA27" i="20"/>
  <c r="EB27" i="20"/>
  <c r="EC27" i="20"/>
  <c r="ED27" i="20"/>
  <c r="EE27" i="20"/>
  <c r="EF27" i="20"/>
  <c r="EG27" i="20"/>
  <c r="EH27" i="20"/>
  <c r="EI27" i="20"/>
  <c r="EJ27" i="20"/>
  <c r="EK27" i="20"/>
  <c r="EL27" i="20"/>
  <c r="EM27" i="20"/>
  <c r="EN27" i="20"/>
  <c r="EO27" i="20"/>
  <c r="EP27" i="20"/>
  <c r="EQ27" i="20"/>
  <c r="ER27" i="20"/>
  <c r="ES27" i="20"/>
  <c r="ET27" i="20"/>
  <c r="EU27" i="20"/>
  <c r="EV27" i="20"/>
  <c r="EW27" i="20"/>
  <c r="EX27" i="20"/>
  <c r="EY27" i="20"/>
  <c r="EZ27" i="20"/>
  <c r="FA27" i="20"/>
  <c r="FB27" i="20"/>
  <c r="FC27" i="20"/>
  <c r="FD27" i="20"/>
  <c r="FE27" i="20"/>
  <c r="FF27" i="20"/>
  <c r="FG27" i="20"/>
  <c r="FH27" i="20"/>
  <c r="FI27" i="20"/>
  <c r="FJ27" i="20"/>
  <c r="FK27" i="20"/>
  <c r="FL27" i="20"/>
  <c r="FM27" i="20"/>
  <c r="FN27" i="20"/>
  <c r="FO27" i="20"/>
  <c r="FP27" i="20"/>
  <c r="FQ27" i="20"/>
  <c r="FR27" i="20"/>
  <c r="FS27" i="20"/>
  <c r="FT27" i="20"/>
  <c r="FU27" i="20"/>
  <c r="FV27" i="20"/>
  <c r="FW27" i="20"/>
  <c r="FX27" i="20"/>
  <c r="FY27" i="20"/>
  <c r="FZ27" i="20"/>
  <c r="GA27" i="20"/>
  <c r="GB27" i="20"/>
  <c r="GC27" i="20"/>
  <c r="GD27" i="20"/>
  <c r="GE27" i="20"/>
  <c r="GF27" i="20"/>
  <c r="GG27" i="20"/>
  <c r="GH27" i="20"/>
  <c r="GI27" i="20"/>
  <c r="GJ27" i="20"/>
  <c r="GK27" i="20"/>
  <c r="GL27" i="20"/>
  <c r="GM27" i="20"/>
  <c r="GN27" i="20"/>
  <c r="GO27" i="20"/>
  <c r="GP27" i="20"/>
  <c r="GQ27" i="20"/>
  <c r="GR27" i="20"/>
  <c r="GS27" i="20"/>
  <c r="GT27" i="20"/>
  <c r="GU27" i="20"/>
  <c r="GV27" i="20"/>
  <c r="GW27" i="20"/>
  <c r="GX27" i="20"/>
  <c r="GY27" i="20"/>
  <c r="GZ27" i="20"/>
  <c r="HA27" i="20"/>
  <c r="HB27" i="20"/>
  <c r="HC27" i="20"/>
  <c r="HD27" i="20"/>
  <c r="HE27" i="20"/>
  <c r="HF27" i="20"/>
  <c r="HG27" i="20"/>
  <c r="HH27" i="20"/>
  <c r="HI27" i="20"/>
  <c r="HJ27" i="20"/>
  <c r="HK27" i="20"/>
  <c r="HL27" i="20"/>
  <c r="HM27" i="20"/>
  <c r="HN27" i="20"/>
  <c r="HO27" i="20"/>
  <c r="HP27" i="20"/>
  <c r="HQ27" i="20"/>
  <c r="HR27" i="20"/>
  <c r="HS27" i="20"/>
  <c r="HT27" i="20"/>
  <c r="HU27" i="20"/>
  <c r="HV27" i="20"/>
  <c r="HW27" i="20"/>
  <c r="HX27" i="20"/>
  <c r="HY27" i="20"/>
  <c r="HZ27" i="20"/>
  <c r="IA27" i="20"/>
  <c r="IB27" i="20"/>
  <c r="IC27" i="20"/>
  <c r="ID27" i="20"/>
  <c r="IE27" i="20"/>
  <c r="IF27" i="20"/>
  <c r="IG27" i="20"/>
  <c r="IH27" i="20"/>
  <c r="II27" i="20"/>
  <c r="IJ27" i="20"/>
  <c r="IK27" i="20"/>
  <c r="IL27" i="20"/>
  <c r="IM27" i="20"/>
  <c r="IN27" i="20"/>
  <c r="IO27" i="20"/>
  <c r="IP27" i="20"/>
  <c r="IQ27" i="20"/>
  <c r="IR27" i="20"/>
  <c r="IS27" i="20"/>
  <c r="IT27" i="20"/>
  <c r="IU27" i="20"/>
  <c r="IV27" i="20"/>
  <c r="A26"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G26" i="20"/>
  <c r="AH26" i="20"/>
  <c r="AI26" i="20"/>
  <c r="AJ26" i="20"/>
  <c r="AK26" i="20"/>
  <c r="AL26" i="20"/>
  <c r="AM26" i="20"/>
  <c r="AN26" i="20"/>
  <c r="AO26" i="20"/>
  <c r="AP26" i="20"/>
  <c r="AQ26" i="20"/>
  <c r="AR26" i="20"/>
  <c r="AS26" i="20"/>
  <c r="AT26" i="20"/>
  <c r="AU26" i="20"/>
  <c r="AV26" i="20"/>
  <c r="AW26" i="20"/>
  <c r="AX26" i="20"/>
  <c r="AY26" i="20"/>
  <c r="AZ26" i="20"/>
  <c r="BA26" i="20"/>
  <c r="BB26" i="20"/>
  <c r="BC26" i="20"/>
  <c r="BD26" i="20"/>
  <c r="BE26" i="20"/>
  <c r="BF26" i="20"/>
  <c r="BG26" i="20"/>
  <c r="BH26" i="20"/>
  <c r="BI26" i="20"/>
  <c r="BJ26" i="20"/>
  <c r="BK26" i="20"/>
  <c r="BL26" i="20"/>
  <c r="BM26" i="20"/>
  <c r="BN26" i="20"/>
  <c r="BO26" i="20"/>
  <c r="BP26" i="20"/>
  <c r="BQ26" i="20"/>
  <c r="BR26" i="20"/>
  <c r="BS26" i="20"/>
  <c r="BT26" i="20"/>
  <c r="BU26" i="20"/>
  <c r="BV26" i="20"/>
  <c r="BW26" i="20"/>
  <c r="BX26" i="20"/>
  <c r="BY26" i="20"/>
  <c r="BZ26" i="20"/>
  <c r="CA26" i="20"/>
  <c r="CB26" i="20"/>
  <c r="CC26" i="20"/>
  <c r="CD26" i="20"/>
  <c r="CE26" i="20"/>
  <c r="CF26" i="20"/>
  <c r="CG26" i="20"/>
  <c r="CH26" i="20"/>
  <c r="CI26" i="20"/>
  <c r="CJ26" i="20"/>
  <c r="CK26" i="20"/>
  <c r="CL26" i="20"/>
  <c r="CM26" i="20"/>
  <c r="CN26" i="20"/>
  <c r="CO26" i="20"/>
  <c r="CP26" i="20"/>
  <c r="CQ26" i="20"/>
  <c r="CR26" i="20"/>
  <c r="CS26" i="20"/>
  <c r="CT26" i="20"/>
  <c r="CU26" i="20"/>
  <c r="CV26" i="20"/>
  <c r="CW26" i="20"/>
  <c r="CX26" i="20"/>
  <c r="CY26" i="20"/>
  <c r="CZ26" i="20"/>
  <c r="DA26" i="20"/>
  <c r="DB26" i="20"/>
  <c r="DC26" i="20"/>
  <c r="DD26" i="20"/>
  <c r="DE26" i="20"/>
  <c r="DF26" i="20"/>
  <c r="DG26" i="20"/>
  <c r="DH26" i="20"/>
  <c r="DI26" i="20"/>
  <c r="DJ26" i="20"/>
  <c r="DK26" i="20"/>
  <c r="DL26" i="20"/>
  <c r="DM26" i="20"/>
  <c r="DN26" i="20"/>
  <c r="DO26" i="20"/>
  <c r="DP26" i="20"/>
  <c r="DQ26" i="20"/>
  <c r="DR26" i="20"/>
  <c r="DS26" i="20"/>
  <c r="DT26" i="20"/>
  <c r="DU26" i="20"/>
  <c r="DV26" i="20"/>
  <c r="DW26" i="20"/>
  <c r="DX26" i="20"/>
  <c r="DY26" i="20"/>
  <c r="DZ26" i="20"/>
  <c r="EA26" i="20"/>
  <c r="EB26" i="20"/>
  <c r="EC26" i="20"/>
  <c r="ED26" i="20"/>
  <c r="EE26" i="20"/>
  <c r="EF26" i="20"/>
  <c r="EG26" i="20"/>
  <c r="EH26" i="20"/>
  <c r="EI26" i="20"/>
  <c r="EJ26" i="20"/>
  <c r="EK26" i="20"/>
  <c r="EL26" i="20"/>
  <c r="EM26" i="20"/>
  <c r="EN26" i="20"/>
  <c r="EO26" i="20"/>
  <c r="EP26" i="20"/>
  <c r="EQ26" i="20"/>
  <c r="ER26" i="20"/>
  <c r="ES26" i="20"/>
  <c r="ET26" i="20"/>
  <c r="EU26" i="20"/>
  <c r="EV26" i="20"/>
  <c r="EW26" i="20"/>
  <c r="EX26" i="20"/>
  <c r="EY26" i="20"/>
  <c r="EZ26" i="20"/>
  <c r="FA26" i="20"/>
  <c r="FB26" i="20"/>
  <c r="FC26" i="20"/>
  <c r="FD26" i="20"/>
  <c r="FE26" i="20"/>
  <c r="FF26" i="20"/>
  <c r="FG26" i="20"/>
  <c r="FH26" i="20"/>
  <c r="FI26" i="20"/>
  <c r="FJ26" i="20"/>
  <c r="FK26" i="20"/>
  <c r="FL26" i="20"/>
  <c r="FM26" i="20"/>
  <c r="FN26" i="20"/>
  <c r="FO26" i="20"/>
  <c r="FP26" i="20"/>
  <c r="FQ26" i="20"/>
  <c r="FR26" i="20"/>
  <c r="FS26" i="20"/>
  <c r="FT26" i="20"/>
  <c r="FU26" i="20"/>
  <c r="FV26" i="20"/>
  <c r="FW26" i="20"/>
  <c r="FX26" i="20"/>
  <c r="FY26" i="20"/>
  <c r="FZ26" i="20"/>
  <c r="GA26" i="20"/>
  <c r="GB26" i="20"/>
  <c r="GC26" i="20"/>
  <c r="GD26" i="20"/>
  <c r="GE26" i="20"/>
  <c r="GF26" i="20"/>
  <c r="GG26" i="20"/>
  <c r="GH26" i="20"/>
  <c r="GI26" i="20"/>
  <c r="GJ26" i="20"/>
  <c r="GK26" i="20"/>
  <c r="GL26" i="20"/>
  <c r="GM26" i="20"/>
  <c r="GN26" i="20"/>
  <c r="GO26" i="20"/>
  <c r="GP26" i="20"/>
  <c r="GQ26" i="20"/>
  <c r="GR26" i="20"/>
  <c r="GS26" i="20"/>
  <c r="GT26" i="20"/>
  <c r="GU26" i="20"/>
  <c r="GV26" i="20"/>
  <c r="GW26" i="20"/>
  <c r="GX26" i="20"/>
  <c r="GY26" i="20"/>
  <c r="GZ26" i="20"/>
  <c r="HA26" i="20"/>
  <c r="HB26" i="20"/>
  <c r="HC26" i="20"/>
  <c r="HD26" i="20"/>
  <c r="HE26" i="20"/>
  <c r="HF26" i="20"/>
  <c r="HG26" i="20"/>
  <c r="HH26" i="20"/>
  <c r="HI26" i="20"/>
  <c r="HJ26" i="20"/>
  <c r="HK26" i="20"/>
  <c r="HL26" i="20"/>
  <c r="HM26" i="20"/>
  <c r="HN26" i="20"/>
  <c r="HO26" i="20"/>
  <c r="HP26" i="20"/>
  <c r="HQ26" i="20"/>
  <c r="HR26" i="20"/>
  <c r="HS26" i="20"/>
  <c r="HT26" i="20"/>
  <c r="HU26" i="20"/>
  <c r="HV26" i="20"/>
  <c r="HW26" i="20"/>
  <c r="HX26" i="20"/>
  <c r="HY26" i="20"/>
  <c r="HZ26" i="20"/>
  <c r="IA26" i="20"/>
  <c r="IB26" i="20"/>
  <c r="IC26" i="20"/>
  <c r="ID26" i="20"/>
  <c r="IE26" i="20"/>
  <c r="IF26" i="20"/>
  <c r="IG26" i="20"/>
  <c r="IH26" i="20"/>
  <c r="II26" i="20"/>
  <c r="IJ26" i="20"/>
  <c r="IK26" i="20"/>
  <c r="IL26" i="20"/>
  <c r="IM26" i="20"/>
  <c r="IN26" i="20"/>
  <c r="IO26" i="20"/>
  <c r="IP26" i="20"/>
  <c r="IQ26" i="20"/>
  <c r="IR26" i="20"/>
  <c r="IS26" i="20"/>
  <c r="IT26" i="20"/>
  <c r="IU26" i="20"/>
  <c r="IV26" i="20"/>
  <c r="A25"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G25" i="20"/>
  <c r="AH25" i="20"/>
  <c r="AI25" i="20"/>
  <c r="AJ25" i="20"/>
  <c r="AK25" i="20"/>
  <c r="AL25" i="20"/>
  <c r="AM25" i="20"/>
  <c r="AN25" i="20"/>
  <c r="AO25" i="20"/>
  <c r="AP25" i="20"/>
  <c r="AU25" i="20"/>
  <c r="AV25" i="20"/>
  <c r="AW25" i="20"/>
  <c r="AX25" i="20"/>
  <c r="AY25" i="20"/>
  <c r="AZ25" i="20"/>
  <c r="BA25" i="20"/>
  <c r="BB25" i="20"/>
  <c r="BC25" i="20"/>
  <c r="BD25" i="20"/>
  <c r="BE25" i="20"/>
  <c r="BF25" i="20"/>
  <c r="BG25" i="20"/>
  <c r="BH25" i="20"/>
  <c r="BI25" i="20"/>
  <c r="BJ25" i="20"/>
  <c r="BK25" i="20"/>
  <c r="BL25" i="20"/>
  <c r="BM25" i="20"/>
  <c r="BN25" i="20"/>
  <c r="BO25" i="20"/>
  <c r="BP25" i="20"/>
  <c r="BQ25" i="20"/>
  <c r="BR25" i="20"/>
  <c r="BS25" i="20"/>
  <c r="BT25" i="20"/>
  <c r="BU25" i="20"/>
  <c r="BV25" i="20"/>
  <c r="BW25" i="20"/>
  <c r="BX25" i="20"/>
  <c r="BY25" i="20"/>
  <c r="BZ25" i="20"/>
  <c r="CA25" i="20"/>
  <c r="CB25" i="20"/>
  <c r="CC25" i="20"/>
  <c r="CD25" i="20"/>
  <c r="CE25" i="20"/>
  <c r="CF25" i="20"/>
  <c r="CG25" i="20"/>
  <c r="CH25" i="20"/>
  <c r="CI25" i="20"/>
  <c r="CJ25" i="20"/>
  <c r="CK25" i="20"/>
  <c r="CL25" i="20"/>
  <c r="CM25" i="20"/>
  <c r="CN25" i="20"/>
  <c r="CO25" i="20"/>
  <c r="CP25" i="20"/>
  <c r="CQ25" i="20"/>
  <c r="CR25" i="20"/>
  <c r="CS25" i="20"/>
  <c r="CT25" i="20"/>
  <c r="CU25" i="20"/>
  <c r="CV25" i="20"/>
  <c r="CW25" i="20"/>
  <c r="CX25" i="20"/>
  <c r="CY25" i="20"/>
  <c r="CZ25" i="20"/>
  <c r="DA25" i="20"/>
  <c r="DB25" i="20"/>
  <c r="DC25" i="20"/>
  <c r="DD25" i="20"/>
  <c r="DE25" i="20"/>
  <c r="DF25" i="20"/>
  <c r="DG25" i="20"/>
  <c r="DH25" i="20"/>
  <c r="DI25" i="20"/>
  <c r="DJ25" i="20"/>
  <c r="DK25" i="20"/>
  <c r="DL25" i="20"/>
  <c r="DM25" i="20"/>
  <c r="DN25" i="20"/>
  <c r="DO25" i="20"/>
  <c r="DP25" i="20"/>
  <c r="DQ25" i="20"/>
  <c r="DR25" i="20"/>
  <c r="DS25" i="20"/>
  <c r="DT25" i="20"/>
  <c r="DU25" i="20"/>
  <c r="DV25" i="20"/>
  <c r="DW25" i="20"/>
  <c r="DX25" i="20"/>
  <c r="DY25" i="20"/>
  <c r="DZ25" i="20"/>
  <c r="EA25" i="20"/>
  <c r="EB25" i="20"/>
  <c r="EC25" i="20"/>
  <c r="ED25" i="20"/>
  <c r="EE25" i="20"/>
  <c r="EF25" i="20"/>
  <c r="EG25" i="20"/>
  <c r="EH25" i="20"/>
  <c r="EI25" i="20"/>
  <c r="EJ25" i="20"/>
  <c r="EK25" i="20"/>
  <c r="EL25" i="20"/>
  <c r="EM25" i="20"/>
  <c r="EN25" i="20"/>
  <c r="EO25" i="20"/>
  <c r="EP25" i="20"/>
  <c r="EQ25" i="20"/>
  <c r="ER25" i="20"/>
  <c r="ES25" i="20"/>
  <c r="ET25" i="20"/>
  <c r="EU25" i="20"/>
  <c r="EV25" i="20"/>
  <c r="EW25" i="20"/>
  <c r="EX25" i="20"/>
  <c r="EY25" i="20"/>
  <c r="EZ25" i="20"/>
  <c r="FA25" i="20"/>
  <c r="FB25" i="20"/>
  <c r="FC25" i="20"/>
  <c r="FD25" i="20"/>
  <c r="FE25" i="20"/>
  <c r="FF25" i="20"/>
  <c r="FG25" i="20"/>
  <c r="FH25" i="20"/>
  <c r="FI25" i="20"/>
  <c r="FJ25" i="20"/>
  <c r="FK25" i="20"/>
  <c r="FL25" i="20"/>
  <c r="FM25" i="20"/>
  <c r="FN25" i="20"/>
  <c r="FO25" i="20"/>
  <c r="FP25" i="20"/>
  <c r="FQ25" i="20"/>
  <c r="FR25" i="20"/>
  <c r="FS25" i="20"/>
  <c r="FT25" i="20"/>
  <c r="FU25" i="20"/>
  <c r="FV25" i="20"/>
  <c r="FW25" i="20"/>
  <c r="FX25" i="20"/>
  <c r="FY25" i="20"/>
  <c r="FZ25" i="20"/>
  <c r="GA25" i="20"/>
  <c r="GB25" i="20"/>
  <c r="GC25" i="20"/>
  <c r="GD25" i="20"/>
  <c r="GE25" i="20"/>
  <c r="GF25" i="20"/>
  <c r="GG25" i="20"/>
  <c r="GH25" i="20"/>
  <c r="GI25" i="20"/>
  <c r="GJ25" i="20"/>
  <c r="GK25" i="20"/>
  <c r="GL25" i="20"/>
  <c r="GM25" i="20"/>
  <c r="GN25" i="20"/>
  <c r="GO25" i="20"/>
  <c r="GP25" i="20"/>
  <c r="GQ25" i="20"/>
  <c r="GR25" i="20"/>
  <c r="GS25" i="20"/>
  <c r="GT25" i="20"/>
  <c r="GU25" i="20"/>
  <c r="GV25" i="20"/>
  <c r="GW25" i="20"/>
  <c r="GX25" i="20"/>
  <c r="GY25" i="20"/>
  <c r="GZ25" i="20"/>
  <c r="HA25" i="20"/>
  <c r="HB25" i="20"/>
  <c r="HC25" i="20"/>
  <c r="HD25" i="20"/>
  <c r="HE25" i="20"/>
  <c r="HF25" i="20"/>
  <c r="HG25" i="20"/>
  <c r="HH25" i="20"/>
  <c r="HI25" i="20"/>
  <c r="HJ25" i="20"/>
  <c r="HK25" i="20"/>
  <c r="HL25" i="20"/>
  <c r="HM25" i="20"/>
  <c r="HN25" i="20"/>
  <c r="HO25" i="20"/>
  <c r="HP25" i="20"/>
  <c r="HQ25" i="20"/>
  <c r="HR25" i="20"/>
  <c r="HS25" i="20"/>
  <c r="HT25" i="20"/>
  <c r="HU25" i="20"/>
  <c r="HV25" i="20"/>
  <c r="HW25" i="20"/>
  <c r="HX25" i="20"/>
  <c r="HY25" i="20"/>
  <c r="HZ25" i="20"/>
  <c r="IA25" i="20"/>
  <c r="IB25" i="20"/>
  <c r="IC25" i="20"/>
  <c r="ID25" i="20"/>
  <c r="IE25" i="20"/>
  <c r="IF25" i="20"/>
  <c r="IG25" i="20"/>
  <c r="IH25" i="20"/>
  <c r="II25" i="20"/>
  <c r="IJ25" i="20"/>
  <c r="IK25" i="20"/>
  <c r="IL25" i="20"/>
  <c r="IM25" i="20"/>
  <c r="IN25" i="20"/>
  <c r="IO25" i="20"/>
  <c r="IP25" i="20"/>
  <c r="IQ25" i="20"/>
  <c r="IR25" i="20"/>
  <c r="IS25" i="20"/>
  <c r="IT25" i="20"/>
  <c r="IU25" i="20"/>
  <c r="IV25" i="20"/>
  <c r="A24" i="20"/>
  <c r="B24" i="20"/>
  <c r="C24" i="20"/>
  <c r="D24" i="20"/>
  <c r="E24" i="20"/>
  <c r="F24" i="20"/>
  <c r="G24" i="20"/>
  <c r="H24" i="20"/>
  <c r="I24" i="20"/>
  <c r="J24" i="20"/>
  <c r="K24" i="20"/>
  <c r="L24" i="20"/>
  <c r="M24" i="20"/>
  <c r="N24" i="20"/>
  <c r="O24" i="20"/>
  <c r="P24" i="20"/>
  <c r="Q24" i="20"/>
  <c r="R24" i="20"/>
  <c r="S24" i="20"/>
  <c r="T24" i="20"/>
  <c r="U24" i="20"/>
  <c r="V24" i="20"/>
  <c r="W24" i="20"/>
  <c r="X24" i="20"/>
  <c r="Y24" i="20"/>
  <c r="Z24" i="20"/>
  <c r="AA24" i="20"/>
  <c r="AB24" i="20"/>
  <c r="AC24" i="20"/>
  <c r="AD24" i="20"/>
  <c r="AE24" i="20"/>
  <c r="AF24" i="20"/>
  <c r="AG24" i="20"/>
  <c r="AH24" i="20"/>
  <c r="AI24" i="20"/>
  <c r="AJ24" i="20"/>
  <c r="AK24" i="20"/>
  <c r="AL24" i="20"/>
  <c r="AM24" i="20"/>
  <c r="AN24" i="20"/>
  <c r="AO24" i="20"/>
  <c r="AP24" i="20"/>
  <c r="AQ24" i="20"/>
  <c r="AR24" i="20"/>
  <c r="AS24" i="20"/>
  <c r="AT24" i="20"/>
  <c r="AU24" i="20"/>
  <c r="AV24" i="20"/>
  <c r="AW24" i="20"/>
  <c r="AX24" i="20"/>
  <c r="AY24" i="20"/>
  <c r="AZ24" i="20"/>
  <c r="BA24" i="20"/>
  <c r="BB24" i="20"/>
  <c r="BC24" i="20"/>
  <c r="BD24" i="20"/>
  <c r="BE24" i="20"/>
  <c r="BF24" i="20"/>
  <c r="BG24" i="20"/>
  <c r="BH24" i="20"/>
  <c r="BI24" i="20"/>
  <c r="BJ24" i="20"/>
  <c r="BK24" i="20"/>
  <c r="BL24" i="20"/>
  <c r="BM24" i="20"/>
  <c r="BN24" i="20"/>
  <c r="BO24" i="20"/>
  <c r="BP24" i="20"/>
  <c r="BQ24" i="20"/>
  <c r="BR24" i="20"/>
  <c r="BS24" i="20"/>
  <c r="BT24" i="20"/>
  <c r="BU24" i="20"/>
  <c r="BV24" i="20"/>
  <c r="BW24" i="20"/>
  <c r="BX24" i="20"/>
  <c r="BY24" i="20"/>
  <c r="BZ24" i="20"/>
  <c r="CA24" i="20"/>
  <c r="CB24" i="20"/>
  <c r="CC24" i="20"/>
  <c r="CD24" i="20"/>
  <c r="CE24" i="20"/>
  <c r="CF24" i="20"/>
  <c r="CG24" i="20"/>
  <c r="CH24" i="20"/>
  <c r="CI24" i="20"/>
  <c r="CJ24" i="20"/>
  <c r="CK24" i="20"/>
  <c r="CL24" i="20"/>
  <c r="CM24" i="20"/>
  <c r="CN24" i="20"/>
  <c r="CO24" i="20"/>
  <c r="CP24" i="20"/>
  <c r="CQ24" i="20"/>
  <c r="CR24" i="20"/>
  <c r="CS24" i="20"/>
  <c r="CT24" i="20"/>
  <c r="CU24" i="20"/>
  <c r="CV24" i="20"/>
  <c r="CW24" i="20"/>
  <c r="CX24" i="20"/>
  <c r="CY24" i="20"/>
  <c r="CZ24" i="20"/>
  <c r="DA24" i="20"/>
  <c r="DB24" i="20"/>
  <c r="DC24" i="20"/>
  <c r="DD24" i="20"/>
  <c r="DE24" i="20"/>
  <c r="DF24" i="20"/>
  <c r="DG24" i="20"/>
  <c r="DH24" i="20"/>
  <c r="DI24" i="20"/>
  <c r="DJ24" i="20"/>
  <c r="DK24" i="20"/>
  <c r="DL24" i="20"/>
  <c r="DM24" i="20"/>
  <c r="DN24" i="20"/>
  <c r="DO24" i="20"/>
  <c r="DP24" i="20"/>
  <c r="DQ24" i="20"/>
  <c r="DR24" i="20"/>
  <c r="DS24" i="20"/>
  <c r="DT24" i="20"/>
  <c r="DU24" i="20"/>
  <c r="DV24" i="20"/>
  <c r="DW24" i="20"/>
  <c r="DX24" i="20"/>
  <c r="DY24" i="20"/>
  <c r="DZ24" i="20"/>
  <c r="EA24" i="20"/>
  <c r="EB24" i="20"/>
  <c r="EC24" i="20"/>
  <c r="ED24" i="20"/>
  <c r="EE24" i="20"/>
  <c r="EF24" i="20"/>
  <c r="EG24" i="20"/>
  <c r="EH24" i="20"/>
  <c r="EI24" i="20"/>
  <c r="EJ24" i="20"/>
  <c r="EK24" i="20"/>
  <c r="EL24" i="20"/>
  <c r="EM24" i="20"/>
  <c r="EN24" i="20"/>
  <c r="EO24" i="20"/>
  <c r="EP24" i="20"/>
  <c r="EQ24" i="20"/>
  <c r="ER24" i="20"/>
  <c r="ES24" i="20"/>
  <c r="ET24" i="20"/>
  <c r="EU24" i="20"/>
  <c r="EV24" i="20"/>
  <c r="EW24" i="20"/>
  <c r="EX24" i="20"/>
  <c r="EY24" i="20"/>
  <c r="EZ24" i="20"/>
  <c r="FA24" i="20"/>
  <c r="FB24" i="20"/>
  <c r="FC24" i="20"/>
  <c r="FD24" i="20"/>
  <c r="FE24" i="20"/>
  <c r="FF24" i="20"/>
  <c r="FG24" i="20"/>
  <c r="FH24" i="20"/>
  <c r="FI24" i="20"/>
  <c r="FJ24" i="20"/>
  <c r="FK24" i="20"/>
  <c r="FL24" i="20"/>
  <c r="FM24" i="20"/>
  <c r="FN24" i="20"/>
  <c r="FO24" i="20"/>
  <c r="FP24" i="20"/>
  <c r="FQ24" i="20"/>
  <c r="FR24" i="20"/>
  <c r="FS24" i="20"/>
  <c r="FT24" i="20"/>
  <c r="FU24" i="20"/>
  <c r="FV24" i="20"/>
  <c r="FW24" i="20"/>
  <c r="FX24" i="20"/>
  <c r="FY24" i="20"/>
  <c r="FZ24" i="20"/>
  <c r="GA24" i="20"/>
  <c r="GB24" i="20"/>
  <c r="GC24" i="20"/>
  <c r="GD24" i="20"/>
  <c r="GE24" i="20"/>
  <c r="GF24" i="20"/>
  <c r="GG24" i="20"/>
  <c r="GH24" i="20"/>
  <c r="GI24" i="20"/>
  <c r="GJ24" i="20"/>
  <c r="GK24" i="20"/>
  <c r="GL24" i="20"/>
  <c r="GM24" i="20"/>
  <c r="GN24" i="20"/>
  <c r="GO24" i="20"/>
  <c r="GP24" i="20"/>
  <c r="GQ24" i="20"/>
  <c r="GR24" i="20"/>
  <c r="GS24" i="20"/>
  <c r="GT24" i="20"/>
  <c r="GU24" i="20"/>
  <c r="GV24" i="20"/>
  <c r="GW24" i="20"/>
  <c r="GX24" i="20"/>
  <c r="GY24" i="20"/>
  <c r="GZ24" i="20"/>
  <c r="HA24" i="20"/>
  <c r="HB24" i="20"/>
  <c r="HC24" i="20"/>
  <c r="HD24" i="20"/>
  <c r="HE24" i="20"/>
  <c r="HF24" i="20"/>
  <c r="HG24" i="20"/>
  <c r="HH24" i="20"/>
  <c r="HI24" i="20"/>
  <c r="HJ24" i="20"/>
  <c r="HK24" i="20"/>
  <c r="HL24" i="20"/>
  <c r="HM24" i="20"/>
  <c r="HN24" i="20"/>
  <c r="HO24" i="20"/>
  <c r="HP24" i="20"/>
  <c r="HQ24" i="20"/>
  <c r="HR24" i="20"/>
  <c r="HS24" i="20"/>
  <c r="HT24" i="20"/>
  <c r="HU24" i="20"/>
  <c r="HV24" i="20"/>
  <c r="HW24" i="20"/>
  <c r="HX24" i="20"/>
  <c r="HY24" i="20"/>
  <c r="HZ24" i="20"/>
  <c r="IA24" i="20"/>
  <c r="IB24" i="20"/>
  <c r="IC24" i="20"/>
  <c r="ID24" i="20"/>
  <c r="IE24" i="20"/>
  <c r="IF24" i="20"/>
  <c r="IG24" i="20"/>
  <c r="IH24" i="20"/>
  <c r="II24" i="20"/>
  <c r="IJ24" i="20"/>
  <c r="IK24" i="20"/>
  <c r="IL24" i="20"/>
  <c r="IM24" i="20"/>
  <c r="IN24" i="20"/>
  <c r="IO24" i="20"/>
  <c r="IP24" i="20"/>
  <c r="IQ24" i="20"/>
  <c r="IR24" i="20"/>
  <c r="IS24" i="20"/>
  <c r="IT24" i="20"/>
  <c r="IU24" i="20"/>
  <c r="IV24" i="20"/>
  <c r="A23"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G23" i="20"/>
  <c r="AH23" i="20"/>
  <c r="AI23" i="20"/>
  <c r="AJ23" i="20"/>
  <c r="AK23" i="20"/>
  <c r="AL23" i="20"/>
  <c r="AM23" i="20"/>
  <c r="AN23" i="20"/>
  <c r="AO23" i="20"/>
  <c r="AP23" i="20"/>
  <c r="AQ23" i="20"/>
  <c r="AR23" i="20"/>
  <c r="AS23" i="20"/>
  <c r="AT23" i="20"/>
  <c r="AU23" i="20"/>
  <c r="AV23" i="20"/>
  <c r="AW23" i="20"/>
  <c r="AX23" i="20"/>
  <c r="AY23" i="20"/>
  <c r="AZ23" i="20"/>
  <c r="BA23" i="20"/>
  <c r="BB23" i="20"/>
  <c r="BC23" i="20"/>
  <c r="BD23" i="20"/>
  <c r="BE23" i="20"/>
  <c r="BF23" i="20"/>
  <c r="BG23" i="20"/>
  <c r="BH23" i="20"/>
  <c r="BI23" i="20"/>
  <c r="BJ23" i="20"/>
  <c r="BK23" i="20"/>
  <c r="BL23" i="20"/>
  <c r="BM23" i="20"/>
  <c r="BN23" i="20"/>
  <c r="BO23" i="20"/>
  <c r="BP23" i="20"/>
  <c r="BQ23" i="20"/>
  <c r="BR23" i="20"/>
  <c r="BS23" i="20"/>
  <c r="BT23" i="20"/>
  <c r="BU23" i="20"/>
  <c r="BV23" i="20"/>
  <c r="BW23" i="20"/>
  <c r="BX23" i="20"/>
  <c r="BY23" i="20"/>
  <c r="BZ23" i="20"/>
  <c r="CA23" i="20"/>
  <c r="CB23" i="20"/>
  <c r="CC23" i="20"/>
  <c r="CD23" i="20"/>
  <c r="CE23" i="20"/>
  <c r="CF23" i="20"/>
  <c r="CG23" i="20"/>
  <c r="CH23" i="20"/>
  <c r="CI23" i="20"/>
  <c r="CJ23" i="20"/>
  <c r="CK23" i="20"/>
  <c r="CL23" i="20"/>
  <c r="CM23" i="20"/>
  <c r="CN23" i="20"/>
  <c r="CO23" i="20"/>
  <c r="CP23" i="20"/>
  <c r="CQ23" i="20"/>
  <c r="CR23" i="20"/>
  <c r="CS23" i="20"/>
  <c r="CT23" i="20"/>
  <c r="CU23" i="20"/>
  <c r="CV23" i="20"/>
  <c r="CW23" i="20"/>
  <c r="CX23" i="20"/>
  <c r="CY23" i="20"/>
  <c r="CZ23" i="20"/>
  <c r="DA23" i="20"/>
  <c r="DB23" i="20"/>
  <c r="DC23" i="20"/>
  <c r="DD23" i="20"/>
  <c r="DE23" i="20"/>
  <c r="DF23" i="20"/>
  <c r="DG23" i="20"/>
  <c r="DH23" i="20"/>
  <c r="DI23" i="20"/>
  <c r="DJ23" i="20"/>
  <c r="DK23" i="20"/>
  <c r="DL23" i="20"/>
  <c r="DM23" i="20"/>
  <c r="DN23" i="20"/>
  <c r="DO23" i="20"/>
  <c r="DP23" i="20"/>
  <c r="DQ23" i="20"/>
  <c r="DR23" i="20"/>
  <c r="DS23" i="20"/>
  <c r="DT23" i="20"/>
  <c r="DU23" i="20"/>
  <c r="DV23" i="20"/>
  <c r="DW23" i="20"/>
  <c r="DX23" i="20"/>
  <c r="DY23" i="20"/>
  <c r="DZ23" i="20"/>
  <c r="EA23" i="20"/>
  <c r="EB23" i="20"/>
  <c r="EC23" i="20"/>
  <c r="ED23" i="20"/>
  <c r="EE23" i="20"/>
  <c r="EF23" i="20"/>
  <c r="EG23" i="20"/>
  <c r="EH23" i="20"/>
  <c r="EI23" i="20"/>
  <c r="EJ23" i="20"/>
  <c r="EK23" i="20"/>
  <c r="EL23" i="20"/>
  <c r="EM23" i="20"/>
  <c r="EN23" i="20"/>
  <c r="EO23" i="20"/>
  <c r="EP23" i="20"/>
  <c r="EQ23" i="20"/>
  <c r="ER23" i="20"/>
  <c r="ES23" i="20"/>
  <c r="ET23" i="20"/>
  <c r="EU23" i="20"/>
  <c r="EV23" i="20"/>
  <c r="EW23" i="20"/>
  <c r="EX23" i="20"/>
  <c r="EY23" i="20"/>
  <c r="EZ23" i="20"/>
  <c r="FA23" i="20"/>
  <c r="FB23" i="20"/>
  <c r="FC23" i="20"/>
  <c r="FD23" i="20"/>
  <c r="FE23" i="20"/>
  <c r="FF23" i="20"/>
  <c r="FG23" i="20"/>
  <c r="FH23" i="20"/>
  <c r="FI23" i="20"/>
  <c r="FJ23" i="20"/>
  <c r="FK23" i="20"/>
  <c r="FL23" i="20"/>
  <c r="FM23" i="20"/>
  <c r="FN23" i="20"/>
  <c r="FO23" i="20"/>
  <c r="FP23" i="20"/>
  <c r="FQ23" i="20"/>
  <c r="FR23" i="20"/>
  <c r="FS23" i="20"/>
  <c r="FT23" i="20"/>
  <c r="FU23" i="20"/>
  <c r="FV23" i="20"/>
  <c r="FW23" i="20"/>
  <c r="FX23" i="20"/>
  <c r="FY23" i="20"/>
  <c r="FZ23" i="20"/>
  <c r="GA23" i="20"/>
  <c r="GB23" i="20"/>
  <c r="GC23" i="20"/>
  <c r="GD23" i="20"/>
  <c r="GE23" i="20"/>
  <c r="GF23" i="20"/>
  <c r="GG23" i="20"/>
  <c r="GH23" i="20"/>
  <c r="GI23" i="20"/>
  <c r="GJ23" i="20"/>
  <c r="GK23" i="20"/>
  <c r="GL23" i="20"/>
  <c r="GM23" i="20"/>
  <c r="GN23" i="20"/>
  <c r="GO23" i="20"/>
  <c r="GP23" i="20"/>
  <c r="GQ23" i="20"/>
  <c r="GR23" i="20"/>
  <c r="GS23" i="20"/>
  <c r="GT23" i="20"/>
  <c r="GU23" i="20"/>
  <c r="GV23" i="20"/>
  <c r="GW23" i="20"/>
  <c r="GX23" i="20"/>
  <c r="GY23" i="20"/>
  <c r="GZ23" i="20"/>
  <c r="HA23" i="20"/>
  <c r="HB23" i="20"/>
  <c r="HC23" i="20"/>
  <c r="HD23" i="20"/>
  <c r="HE23" i="20"/>
  <c r="HF23" i="20"/>
  <c r="HG23" i="20"/>
  <c r="HH23" i="20"/>
  <c r="HI23" i="20"/>
  <c r="HJ23" i="20"/>
  <c r="HK23" i="20"/>
  <c r="HL23" i="20"/>
  <c r="HM23" i="20"/>
  <c r="HN23" i="20"/>
  <c r="HO23" i="20"/>
  <c r="HP23" i="20"/>
  <c r="HQ23" i="20"/>
  <c r="HR23" i="20"/>
  <c r="HS23" i="20"/>
  <c r="HT23" i="20"/>
  <c r="HU23" i="20"/>
  <c r="HV23" i="20"/>
  <c r="HW23" i="20"/>
  <c r="HX23" i="20"/>
  <c r="HY23" i="20"/>
  <c r="HZ23" i="20"/>
  <c r="IA23" i="20"/>
  <c r="IB23" i="20"/>
  <c r="IC23" i="20"/>
  <c r="ID23" i="20"/>
  <c r="IE23" i="20"/>
  <c r="IF23" i="20"/>
  <c r="IG23" i="20"/>
  <c r="IH23" i="20"/>
  <c r="II23" i="20"/>
  <c r="IJ23" i="20"/>
  <c r="IK23" i="20"/>
  <c r="IL23" i="20"/>
  <c r="IM23" i="20"/>
  <c r="IN23" i="20"/>
  <c r="IO23" i="20"/>
  <c r="IP23" i="20"/>
  <c r="IQ23" i="20"/>
  <c r="IR23" i="20"/>
  <c r="IS23" i="20"/>
  <c r="IT23" i="20"/>
  <c r="IU23" i="20"/>
  <c r="IV23" i="20"/>
  <c r="A22"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G22" i="20"/>
  <c r="AH22" i="20"/>
  <c r="AI22" i="20"/>
  <c r="AJ22" i="20"/>
  <c r="AK22" i="20"/>
  <c r="AL22" i="20"/>
  <c r="AM22" i="20"/>
  <c r="AN22" i="20"/>
  <c r="AO22" i="20"/>
  <c r="AP22" i="20"/>
  <c r="AQ22" i="20"/>
  <c r="AR22" i="20"/>
  <c r="AS22" i="20"/>
  <c r="AT22" i="20"/>
  <c r="AU22" i="20"/>
  <c r="AV22" i="20"/>
  <c r="AW22" i="20"/>
  <c r="AX22" i="20"/>
  <c r="AY22" i="20"/>
  <c r="AZ22" i="20"/>
  <c r="BA22" i="20"/>
  <c r="BB22" i="20"/>
  <c r="BC22" i="20"/>
  <c r="BD22" i="20"/>
  <c r="BE22" i="20"/>
  <c r="BF22" i="20"/>
  <c r="BG22" i="20"/>
  <c r="BH22" i="20"/>
  <c r="BI22" i="20"/>
  <c r="BJ22" i="20"/>
  <c r="BK22" i="20"/>
  <c r="BL22" i="20"/>
  <c r="BM22" i="20"/>
  <c r="BN22" i="20"/>
  <c r="BO22" i="20"/>
  <c r="BP22" i="20"/>
  <c r="BQ22" i="20"/>
  <c r="BR22" i="20"/>
  <c r="BS22" i="20"/>
  <c r="BT22" i="20"/>
  <c r="BU22" i="20"/>
  <c r="BV22" i="20"/>
  <c r="BW22" i="20"/>
  <c r="BX22" i="20"/>
  <c r="BY22" i="20"/>
  <c r="BZ22" i="20"/>
  <c r="CA22" i="20"/>
  <c r="CB22" i="20"/>
  <c r="CC22" i="20"/>
  <c r="CD22" i="20"/>
  <c r="CE22" i="20"/>
  <c r="CF22" i="20"/>
  <c r="CG22" i="20"/>
  <c r="CH22" i="20"/>
  <c r="CI22" i="20"/>
  <c r="CJ22" i="20"/>
  <c r="CK22" i="20"/>
  <c r="CL22" i="20"/>
  <c r="CM22" i="20"/>
  <c r="CN22" i="20"/>
  <c r="CO22" i="20"/>
  <c r="CP22" i="20"/>
  <c r="CQ22" i="20"/>
  <c r="CR22" i="20"/>
  <c r="CS22" i="20"/>
  <c r="CT22" i="20"/>
  <c r="CU22" i="20"/>
  <c r="CV22" i="20"/>
  <c r="CW22" i="20"/>
  <c r="CX22" i="20"/>
  <c r="CY22" i="20"/>
  <c r="CZ22" i="20"/>
  <c r="DA22" i="20"/>
  <c r="DB22" i="20"/>
  <c r="DC22" i="20"/>
  <c r="DD22" i="20"/>
  <c r="DE22" i="20"/>
  <c r="DF22" i="20"/>
  <c r="DG22" i="20"/>
  <c r="DH22" i="20"/>
  <c r="DI22" i="20"/>
  <c r="DJ22" i="20"/>
  <c r="DK22" i="20"/>
  <c r="DL22" i="20"/>
  <c r="DM22" i="20"/>
  <c r="DN22" i="20"/>
  <c r="DO22" i="20"/>
  <c r="DP22" i="20"/>
  <c r="DQ22" i="20"/>
  <c r="DR22" i="20"/>
  <c r="DS22" i="20"/>
  <c r="DT22" i="20"/>
  <c r="DU22" i="20"/>
  <c r="DV22" i="20"/>
  <c r="DW22" i="20"/>
  <c r="DX22" i="20"/>
  <c r="DY22" i="20"/>
  <c r="DZ22" i="20"/>
  <c r="EA22" i="20"/>
  <c r="EB22" i="20"/>
  <c r="EC22" i="20"/>
  <c r="ED22" i="20"/>
  <c r="EE22" i="20"/>
  <c r="EF22" i="20"/>
  <c r="EG22" i="20"/>
  <c r="EH22" i="20"/>
  <c r="EI22" i="20"/>
  <c r="EJ22" i="20"/>
  <c r="EK22" i="20"/>
  <c r="EL22" i="20"/>
  <c r="EM22" i="20"/>
  <c r="EN22" i="20"/>
  <c r="EO22" i="20"/>
  <c r="EP22" i="20"/>
  <c r="EQ22" i="20"/>
  <c r="ER22" i="20"/>
  <c r="ES22" i="20"/>
  <c r="ET22" i="20"/>
  <c r="EU22" i="20"/>
  <c r="EV22" i="20"/>
  <c r="EW22" i="20"/>
  <c r="EX22" i="20"/>
  <c r="EY22" i="20"/>
  <c r="EZ22" i="20"/>
  <c r="FA22" i="20"/>
  <c r="FB22" i="20"/>
  <c r="FC22" i="20"/>
  <c r="FD22" i="20"/>
  <c r="FE22" i="20"/>
  <c r="FF22" i="20"/>
  <c r="FG22" i="20"/>
  <c r="FH22" i="20"/>
  <c r="FI22" i="20"/>
  <c r="FJ22" i="20"/>
  <c r="FK22" i="20"/>
  <c r="FL22" i="20"/>
  <c r="FM22" i="20"/>
  <c r="FN22" i="20"/>
  <c r="FO22" i="20"/>
  <c r="FP22" i="20"/>
  <c r="FQ22" i="20"/>
  <c r="FR22" i="20"/>
  <c r="FS22" i="20"/>
  <c r="FT22" i="20"/>
  <c r="FU22" i="20"/>
  <c r="FV22" i="20"/>
  <c r="FW22" i="20"/>
  <c r="FX22" i="20"/>
  <c r="FY22" i="20"/>
  <c r="FZ22" i="20"/>
  <c r="GA22" i="20"/>
  <c r="GB22" i="20"/>
  <c r="GC22" i="20"/>
  <c r="GD22" i="20"/>
  <c r="GE22" i="20"/>
  <c r="GF22" i="20"/>
  <c r="GG22" i="20"/>
  <c r="GH22" i="20"/>
  <c r="GI22" i="20"/>
  <c r="GJ22" i="20"/>
  <c r="GK22" i="20"/>
  <c r="GL22" i="20"/>
  <c r="GM22" i="20"/>
  <c r="GN22" i="20"/>
  <c r="GO22" i="20"/>
  <c r="GP22" i="20"/>
  <c r="GQ22" i="20"/>
  <c r="GR22" i="20"/>
  <c r="GS22" i="20"/>
  <c r="GT22" i="20"/>
  <c r="GU22" i="20"/>
  <c r="GV22" i="20"/>
  <c r="GW22" i="20"/>
  <c r="GX22" i="20"/>
  <c r="GY22" i="20"/>
  <c r="GZ22" i="20"/>
  <c r="HA22" i="20"/>
  <c r="HB22" i="20"/>
  <c r="HC22" i="20"/>
  <c r="HD22" i="20"/>
  <c r="HE22" i="20"/>
  <c r="HF22" i="20"/>
  <c r="HG22" i="20"/>
  <c r="HH22" i="20"/>
  <c r="HI22" i="20"/>
  <c r="HJ22" i="20"/>
  <c r="HK22" i="20"/>
  <c r="HL22" i="20"/>
  <c r="HM22" i="20"/>
  <c r="HN22" i="20"/>
  <c r="HO22" i="20"/>
  <c r="HP22" i="20"/>
  <c r="HQ22" i="20"/>
  <c r="HR22" i="20"/>
  <c r="HS22" i="20"/>
  <c r="HT22" i="20"/>
  <c r="HU22" i="20"/>
  <c r="HV22" i="20"/>
  <c r="HW22" i="20"/>
  <c r="HX22" i="20"/>
  <c r="HY22" i="20"/>
  <c r="HZ22" i="20"/>
  <c r="IA22" i="20"/>
  <c r="IB22" i="20"/>
  <c r="IC22" i="20"/>
  <c r="ID22" i="20"/>
  <c r="IE22" i="20"/>
  <c r="IF22" i="20"/>
  <c r="IG22" i="20"/>
  <c r="IH22" i="20"/>
  <c r="II22" i="20"/>
  <c r="IJ22" i="20"/>
  <c r="IK22" i="20"/>
  <c r="IL22" i="20"/>
  <c r="IM22" i="20"/>
  <c r="IN22" i="20"/>
  <c r="IO22" i="20"/>
  <c r="IP22" i="20"/>
  <c r="IQ22" i="20"/>
  <c r="IR22" i="20"/>
  <c r="IS22" i="20"/>
  <c r="IT22" i="20"/>
  <c r="IU22" i="20"/>
  <c r="IV22" i="20"/>
  <c r="A21"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G21" i="20"/>
  <c r="AH21" i="20"/>
  <c r="AI21" i="20"/>
  <c r="AJ21" i="20"/>
  <c r="AK21" i="20"/>
  <c r="AL21" i="20"/>
  <c r="AM21" i="20"/>
  <c r="AN21" i="20"/>
  <c r="AO21" i="20"/>
  <c r="AP21" i="20"/>
  <c r="AQ21" i="20"/>
  <c r="AR21" i="20"/>
  <c r="AS21" i="20"/>
  <c r="AT21" i="20"/>
  <c r="AU21" i="20"/>
  <c r="AV21" i="20"/>
  <c r="AW21" i="20"/>
  <c r="AX21" i="20"/>
  <c r="AY21" i="20"/>
  <c r="AZ21" i="20"/>
  <c r="BA21" i="20"/>
  <c r="BB21" i="20"/>
  <c r="BC21" i="20"/>
  <c r="BD21" i="20"/>
  <c r="BE21" i="20"/>
  <c r="BF21" i="20"/>
  <c r="BG21" i="20"/>
  <c r="BH21" i="20"/>
  <c r="BI21" i="20"/>
  <c r="BJ21" i="20"/>
  <c r="BK21" i="20"/>
  <c r="BL21" i="20"/>
  <c r="BM21" i="20"/>
  <c r="BN21" i="20"/>
  <c r="BO21" i="20"/>
  <c r="BP21" i="20"/>
  <c r="BQ21" i="20"/>
  <c r="BR21" i="20"/>
  <c r="BS21" i="20"/>
  <c r="BT21" i="20"/>
  <c r="BU21" i="20"/>
  <c r="BV21" i="20"/>
  <c r="BW21" i="20"/>
  <c r="BX21" i="20"/>
  <c r="BY21" i="20"/>
  <c r="BZ21" i="20"/>
  <c r="CA21" i="20"/>
  <c r="CB21" i="20"/>
  <c r="CC21" i="20"/>
  <c r="CD21" i="20"/>
  <c r="CE21" i="20"/>
  <c r="CF21" i="20"/>
  <c r="CG21" i="20"/>
  <c r="CH21" i="20"/>
  <c r="CI21" i="20"/>
  <c r="CJ21" i="20"/>
  <c r="CK21" i="20"/>
  <c r="CL21" i="20"/>
  <c r="CM21" i="20"/>
  <c r="CN21" i="20"/>
  <c r="CO21" i="20"/>
  <c r="CP21" i="20"/>
  <c r="CQ21" i="20"/>
  <c r="CR21" i="20"/>
  <c r="CS21" i="20"/>
  <c r="CT21" i="20"/>
  <c r="CU21" i="20"/>
  <c r="CV21" i="20"/>
  <c r="CW21" i="20"/>
  <c r="CX21" i="20"/>
  <c r="CY21" i="20"/>
  <c r="CZ21" i="20"/>
  <c r="DA21" i="20"/>
  <c r="DB21" i="20"/>
  <c r="DC21" i="20"/>
  <c r="DD21" i="20"/>
  <c r="DE21" i="20"/>
  <c r="DF21" i="20"/>
  <c r="DG21" i="20"/>
  <c r="DH21" i="20"/>
  <c r="DI21" i="20"/>
  <c r="DJ21" i="20"/>
  <c r="DK21" i="20"/>
  <c r="DL21" i="20"/>
  <c r="DM21" i="20"/>
  <c r="DN21" i="20"/>
  <c r="DO21" i="20"/>
  <c r="DP21" i="20"/>
  <c r="DQ21" i="20"/>
  <c r="DR21" i="20"/>
  <c r="DS21" i="20"/>
  <c r="DT21" i="20"/>
  <c r="DU21" i="20"/>
  <c r="DV21" i="20"/>
  <c r="DW21" i="20"/>
  <c r="DX21" i="20"/>
  <c r="DY21" i="20"/>
  <c r="DZ21" i="20"/>
  <c r="EA21" i="20"/>
  <c r="EB21" i="20"/>
  <c r="EC21" i="20"/>
  <c r="ED21" i="20"/>
  <c r="EE21" i="20"/>
  <c r="EF21" i="20"/>
  <c r="EG21" i="20"/>
  <c r="EH21" i="20"/>
  <c r="EI21" i="20"/>
  <c r="EJ21" i="20"/>
  <c r="EK21" i="20"/>
  <c r="EL21" i="20"/>
  <c r="EM21" i="20"/>
  <c r="EN21" i="20"/>
  <c r="EO21" i="20"/>
  <c r="EP21" i="20"/>
  <c r="EQ21" i="20"/>
  <c r="ER21" i="20"/>
  <c r="ES21" i="20"/>
  <c r="ET21" i="20"/>
  <c r="EU21" i="20"/>
  <c r="EV21" i="20"/>
  <c r="EW21" i="20"/>
  <c r="EX21" i="20"/>
  <c r="EY21" i="20"/>
  <c r="EZ21" i="20"/>
  <c r="FA21" i="20"/>
  <c r="FB21" i="20"/>
  <c r="FC21" i="20"/>
  <c r="FD21" i="20"/>
  <c r="FE21" i="20"/>
  <c r="FF21" i="20"/>
  <c r="FG21" i="20"/>
  <c r="FH21" i="20"/>
  <c r="FI21" i="20"/>
  <c r="FJ21" i="20"/>
  <c r="FK21" i="20"/>
  <c r="FL21" i="20"/>
  <c r="FM21" i="20"/>
  <c r="FN21" i="20"/>
  <c r="FO21" i="20"/>
  <c r="FP21" i="20"/>
  <c r="FQ21" i="20"/>
  <c r="FR21" i="20"/>
  <c r="FS21" i="20"/>
  <c r="FT21" i="20"/>
  <c r="FU21" i="20"/>
  <c r="FV21" i="20"/>
  <c r="FW21" i="20"/>
  <c r="FX21" i="20"/>
  <c r="FY21" i="20"/>
  <c r="FZ21" i="20"/>
  <c r="GA21" i="20"/>
  <c r="GB21" i="20"/>
  <c r="GC21" i="20"/>
  <c r="GD21" i="20"/>
  <c r="GE21" i="20"/>
  <c r="GF21" i="20"/>
  <c r="GG21" i="20"/>
  <c r="GH21" i="20"/>
  <c r="GI21" i="20"/>
  <c r="GJ21" i="20"/>
  <c r="GK21" i="20"/>
  <c r="GL21" i="20"/>
  <c r="GM21" i="20"/>
  <c r="GN21" i="20"/>
  <c r="GO21" i="20"/>
  <c r="GP21" i="20"/>
  <c r="GQ21" i="20"/>
  <c r="GR21" i="20"/>
  <c r="GS21" i="20"/>
  <c r="GT21" i="20"/>
  <c r="GU21" i="20"/>
  <c r="GV21" i="20"/>
  <c r="GW21" i="20"/>
  <c r="GX21" i="20"/>
  <c r="GY21" i="20"/>
  <c r="GZ21" i="20"/>
  <c r="HA21" i="20"/>
  <c r="HB21" i="20"/>
  <c r="HC21" i="20"/>
  <c r="HD21" i="20"/>
  <c r="HE21" i="20"/>
  <c r="HF21" i="20"/>
  <c r="HG21" i="20"/>
  <c r="HH21" i="20"/>
  <c r="HI21" i="20"/>
  <c r="HJ21" i="20"/>
  <c r="HK21" i="20"/>
  <c r="HL21" i="20"/>
  <c r="HM21" i="20"/>
  <c r="HN21" i="20"/>
  <c r="HO21" i="20"/>
  <c r="HP21" i="20"/>
  <c r="HQ21" i="20"/>
  <c r="HR21" i="20"/>
  <c r="HS21" i="20"/>
  <c r="HT21" i="20"/>
  <c r="HU21" i="20"/>
  <c r="HV21" i="20"/>
  <c r="HW21" i="20"/>
  <c r="HX21" i="20"/>
  <c r="HY21" i="20"/>
  <c r="HZ21" i="20"/>
  <c r="IA21" i="20"/>
  <c r="IB21" i="20"/>
  <c r="IC21" i="20"/>
  <c r="ID21" i="20"/>
  <c r="IE21" i="20"/>
  <c r="IF21" i="20"/>
  <c r="IG21" i="20"/>
  <c r="IH21" i="20"/>
  <c r="II21" i="20"/>
  <c r="IJ21" i="20"/>
  <c r="IK21" i="20"/>
  <c r="IL21" i="20"/>
  <c r="IM21" i="20"/>
  <c r="IN21" i="20"/>
  <c r="IO21" i="20"/>
  <c r="IP21" i="20"/>
  <c r="IQ21" i="20"/>
  <c r="IR21" i="20"/>
  <c r="IS21" i="20"/>
  <c r="IT21" i="20"/>
  <c r="IU21" i="20"/>
  <c r="IV21" i="20"/>
  <c r="A20" i="20"/>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G20" i="20"/>
  <c r="AH20" i="20"/>
  <c r="AI20" i="20"/>
  <c r="AJ20" i="20"/>
  <c r="AK20" i="20"/>
  <c r="AL20" i="20"/>
  <c r="AM20" i="20"/>
  <c r="AN20" i="20"/>
  <c r="AO20" i="20"/>
  <c r="AP20" i="20"/>
  <c r="AQ20" i="20"/>
  <c r="AR20" i="20"/>
  <c r="AS20" i="20"/>
  <c r="AT20" i="20"/>
  <c r="AU20" i="20"/>
  <c r="AV20" i="20"/>
  <c r="AW20" i="20"/>
  <c r="AX20" i="20"/>
  <c r="AY20" i="20"/>
  <c r="AZ20" i="20"/>
  <c r="BA20" i="20"/>
  <c r="BB20" i="20"/>
  <c r="BC20" i="20"/>
  <c r="BD20" i="20"/>
  <c r="BE20" i="20"/>
  <c r="BF20" i="20"/>
  <c r="BG20" i="20"/>
  <c r="BH20" i="20"/>
  <c r="BI20" i="20"/>
  <c r="BJ20" i="20"/>
  <c r="BK20" i="20"/>
  <c r="BL20" i="20"/>
  <c r="BM20" i="20"/>
  <c r="BN20" i="20"/>
  <c r="BO20" i="20"/>
  <c r="BP20" i="20"/>
  <c r="BQ20" i="20"/>
  <c r="BR20" i="20"/>
  <c r="BS20" i="20"/>
  <c r="BT20" i="20"/>
  <c r="BU20" i="20"/>
  <c r="BV20" i="20"/>
  <c r="BW20" i="20"/>
  <c r="BX20" i="20"/>
  <c r="BY20" i="20"/>
  <c r="BZ20" i="20"/>
  <c r="CA20" i="20"/>
  <c r="CB20" i="20"/>
  <c r="CC20" i="20"/>
  <c r="CD20" i="20"/>
  <c r="CE20" i="20"/>
  <c r="CF20" i="20"/>
  <c r="CG20" i="20"/>
  <c r="CH20" i="20"/>
  <c r="CI20" i="20"/>
  <c r="CJ20" i="20"/>
  <c r="CK20" i="20"/>
  <c r="CL20" i="20"/>
  <c r="CM20" i="20"/>
  <c r="CN20" i="20"/>
  <c r="CO20" i="20"/>
  <c r="CP20" i="20"/>
  <c r="CQ20" i="20"/>
  <c r="CR20" i="20"/>
  <c r="CS20" i="20"/>
  <c r="CT20" i="20"/>
  <c r="CU20" i="20"/>
  <c r="CV20" i="20"/>
  <c r="CW20" i="20"/>
  <c r="CX20" i="20"/>
  <c r="CY20" i="20"/>
  <c r="CZ20" i="20"/>
  <c r="DA20" i="20"/>
  <c r="DB20" i="20"/>
  <c r="DC20" i="20"/>
  <c r="DD20" i="20"/>
  <c r="DE20" i="20"/>
  <c r="DF20" i="20"/>
  <c r="DG20" i="20"/>
  <c r="DH20" i="20"/>
  <c r="DI20" i="20"/>
  <c r="DJ20" i="20"/>
  <c r="DK20" i="20"/>
  <c r="DL20" i="20"/>
  <c r="DM20" i="20"/>
  <c r="DN20" i="20"/>
  <c r="DO20" i="20"/>
  <c r="DP20" i="20"/>
  <c r="DQ20" i="20"/>
  <c r="DR20" i="20"/>
  <c r="DS20" i="20"/>
  <c r="DT20" i="20"/>
  <c r="DU20" i="20"/>
  <c r="DV20" i="20"/>
  <c r="DW20" i="20"/>
  <c r="DX20" i="20"/>
  <c r="DY20" i="20"/>
  <c r="DZ20" i="20"/>
  <c r="EA20" i="20"/>
  <c r="EB20" i="20"/>
  <c r="EC20" i="20"/>
  <c r="ED20" i="20"/>
  <c r="EE20" i="20"/>
  <c r="EF20" i="20"/>
  <c r="EG20" i="20"/>
  <c r="EH20" i="20"/>
  <c r="EI20" i="20"/>
  <c r="EJ20" i="20"/>
  <c r="EK20" i="20"/>
  <c r="EL20" i="20"/>
  <c r="EM20" i="20"/>
  <c r="EN20" i="20"/>
  <c r="EO20" i="20"/>
  <c r="EP20" i="20"/>
  <c r="EQ20" i="20"/>
  <c r="ER20" i="20"/>
  <c r="ES20" i="20"/>
  <c r="ET20" i="20"/>
  <c r="EU20" i="20"/>
  <c r="EV20" i="20"/>
  <c r="EW20" i="20"/>
  <c r="EX20" i="20"/>
  <c r="EY20" i="20"/>
  <c r="EZ20" i="20"/>
  <c r="FA20" i="20"/>
  <c r="FB20" i="20"/>
  <c r="FC20" i="20"/>
  <c r="FD20" i="20"/>
  <c r="FE20" i="20"/>
  <c r="FF20" i="20"/>
  <c r="FG20" i="20"/>
  <c r="FH20" i="20"/>
  <c r="FI20" i="20"/>
  <c r="FJ20" i="20"/>
  <c r="FK20" i="20"/>
  <c r="FL20" i="20"/>
  <c r="FM20" i="20"/>
  <c r="FN20" i="20"/>
  <c r="FO20" i="20"/>
  <c r="FP20" i="20"/>
  <c r="FQ20" i="20"/>
  <c r="FR20" i="20"/>
  <c r="FS20" i="20"/>
  <c r="FT20" i="20"/>
  <c r="FU20" i="20"/>
  <c r="FV20" i="20"/>
  <c r="FW20" i="20"/>
  <c r="FX20" i="20"/>
  <c r="FY20" i="20"/>
  <c r="FZ20" i="20"/>
  <c r="GA20" i="20"/>
  <c r="GB20" i="20"/>
  <c r="GC20" i="20"/>
  <c r="GD20" i="20"/>
  <c r="GE20" i="20"/>
  <c r="GF20" i="20"/>
  <c r="GG20" i="20"/>
  <c r="GH20" i="20"/>
  <c r="GI20" i="20"/>
  <c r="GJ20" i="20"/>
  <c r="GK20" i="20"/>
  <c r="GL20" i="20"/>
  <c r="GM20" i="20"/>
  <c r="GN20" i="20"/>
  <c r="GO20" i="20"/>
  <c r="GP20" i="20"/>
  <c r="GQ20" i="20"/>
  <c r="GR20" i="20"/>
  <c r="GS20" i="20"/>
  <c r="GT20" i="20"/>
  <c r="GU20" i="20"/>
  <c r="GV20" i="20"/>
  <c r="GW20" i="20"/>
  <c r="GX20" i="20"/>
  <c r="GY20" i="20"/>
  <c r="GZ20" i="20"/>
  <c r="HA20" i="20"/>
  <c r="HB20" i="20"/>
  <c r="HC20" i="20"/>
  <c r="HD20" i="20"/>
  <c r="HE20" i="20"/>
  <c r="HF20" i="20"/>
  <c r="HG20" i="20"/>
  <c r="HH20" i="20"/>
  <c r="HI20" i="20"/>
  <c r="HJ20" i="20"/>
  <c r="HK20" i="20"/>
  <c r="HL20" i="20"/>
  <c r="HM20" i="20"/>
  <c r="HN20" i="20"/>
  <c r="HO20" i="20"/>
  <c r="HP20" i="20"/>
  <c r="HQ20" i="20"/>
  <c r="HR20" i="20"/>
  <c r="HS20" i="20"/>
  <c r="HT20" i="20"/>
  <c r="HU20" i="20"/>
  <c r="HV20" i="20"/>
  <c r="HW20" i="20"/>
  <c r="HX20" i="20"/>
  <c r="HY20" i="20"/>
  <c r="HZ20" i="20"/>
  <c r="IA20" i="20"/>
  <c r="IB20" i="20"/>
  <c r="IC20" i="20"/>
  <c r="ID20" i="20"/>
  <c r="IE20" i="20"/>
  <c r="IF20" i="20"/>
  <c r="IG20" i="20"/>
  <c r="IH20" i="20"/>
  <c r="II20" i="20"/>
  <c r="IJ20" i="20"/>
  <c r="IK20" i="20"/>
  <c r="IL20" i="20"/>
  <c r="IM20" i="20"/>
  <c r="IN20" i="20"/>
  <c r="IO20" i="20"/>
  <c r="IP20" i="20"/>
  <c r="IQ20" i="20"/>
  <c r="IR20" i="20"/>
  <c r="IS20" i="20"/>
  <c r="IT20" i="20"/>
  <c r="IU20" i="20"/>
  <c r="IV20" i="20"/>
  <c r="A19" i="20"/>
  <c r="B19" i="20"/>
  <c r="C19" i="20"/>
  <c r="D19" i="20"/>
  <c r="E19" i="20"/>
  <c r="F19" i="20"/>
  <c r="G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G19" i="20"/>
  <c r="AH19" i="20"/>
  <c r="AI19" i="20"/>
  <c r="AJ19" i="20"/>
  <c r="AK19" i="20"/>
  <c r="AL19" i="20"/>
  <c r="AM19" i="20"/>
  <c r="AN19" i="20"/>
  <c r="AO19" i="20"/>
  <c r="AP19" i="20"/>
  <c r="AQ19" i="20"/>
  <c r="AR19" i="20"/>
  <c r="AS19" i="20"/>
  <c r="AT19" i="20"/>
  <c r="AU19" i="20"/>
  <c r="AV19" i="20"/>
  <c r="AW19" i="20"/>
  <c r="AX19" i="20"/>
  <c r="AY19" i="20"/>
  <c r="AZ19" i="20"/>
  <c r="BA19" i="20"/>
  <c r="BB19" i="20"/>
  <c r="BC19" i="20"/>
  <c r="BD19" i="20"/>
  <c r="BE19" i="20"/>
  <c r="BF19" i="20"/>
  <c r="BG19" i="20"/>
  <c r="BH19" i="20"/>
  <c r="BI19" i="20"/>
  <c r="BJ19" i="20"/>
  <c r="BK19" i="20"/>
  <c r="BL19" i="20"/>
  <c r="BM19" i="20"/>
  <c r="BN19" i="20"/>
  <c r="BO19" i="20"/>
  <c r="BP19" i="20"/>
  <c r="BQ19" i="20"/>
  <c r="BR19" i="20"/>
  <c r="BS19" i="20"/>
  <c r="BT19" i="20"/>
  <c r="BU19" i="20"/>
  <c r="BV19" i="20"/>
  <c r="BW19" i="20"/>
  <c r="BX19" i="20"/>
  <c r="BY19" i="20"/>
  <c r="BZ19" i="20"/>
  <c r="CA19" i="20"/>
  <c r="CB19" i="20"/>
  <c r="CC19" i="20"/>
  <c r="CD19" i="20"/>
  <c r="CE19" i="20"/>
  <c r="CF19" i="20"/>
  <c r="CG19" i="20"/>
  <c r="CH19" i="20"/>
  <c r="CI19" i="20"/>
  <c r="CJ19" i="20"/>
  <c r="CK19" i="20"/>
  <c r="CL19" i="20"/>
  <c r="CM19" i="20"/>
  <c r="CN19" i="20"/>
  <c r="CO19" i="20"/>
  <c r="CP19" i="20"/>
  <c r="CQ19" i="20"/>
  <c r="CR19" i="20"/>
  <c r="CS19" i="20"/>
  <c r="CT19" i="20"/>
  <c r="CU19" i="20"/>
  <c r="CV19" i="20"/>
  <c r="CW19" i="20"/>
  <c r="CX19" i="20"/>
  <c r="CY19" i="20"/>
  <c r="CZ19" i="20"/>
  <c r="DA19" i="20"/>
  <c r="DB19" i="20"/>
  <c r="DC19" i="20"/>
  <c r="DD19" i="20"/>
  <c r="DE19" i="20"/>
  <c r="DF19" i="20"/>
  <c r="DG19" i="20"/>
  <c r="DH19" i="20"/>
  <c r="DI19" i="20"/>
  <c r="DJ19" i="20"/>
  <c r="DK19" i="20"/>
  <c r="DL19" i="20"/>
  <c r="DM19" i="20"/>
  <c r="DN19" i="20"/>
  <c r="DO19" i="20"/>
  <c r="DP19" i="20"/>
  <c r="DQ19" i="20"/>
  <c r="DR19" i="20"/>
  <c r="DS19" i="20"/>
  <c r="DT19" i="20"/>
  <c r="DU19" i="20"/>
  <c r="DV19" i="20"/>
  <c r="DW19" i="20"/>
  <c r="DX19" i="20"/>
  <c r="DY19" i="20"/>
  <c r="DZ19" i="20"/>
  <c r="EA19" i="20"/>
  <c r="EB19" i="20"/>
  <c r="EC19" i="20"/>
  <c r="ED19" i="20"/>
  <c r="EE19" i="20"/>
  <c r="EF19" i="20"/>
  <c r="EG19" i="20"/>
  <c r="EH19" i="20"/>
  <c r="EI19" i="20"/>
  <c r="EJ19" i="20"/>
  <c r="EK19" i="20"/>
  <c r="EL19" i="20"/>
  <c r="EM19" i="20"/>
  <c r="EN19" i="20"/>
  <c r="EO19" i="20"/>
  <c r="EP19" i="20"/>
  <c r="EQ19" i="20"/>
  <c r="ER19" i="20"/>
  <c r="ES19" i="20"/>
  <c r="ET19" i="20"/>
  <c r="EU19" i="20"/>
  <c r="EV19" i="20"/>
  <c r="EW19" i="20"/>
  <c r="EX19" i="20"/>
  <c r="EY19" i="20"/>
  <c r="EZ19" i="20"/>
  <c r="FA19" i="20"/>
  <c r="FB19" i="20"/>
  <c r="FC19" i="20"/>
  <c r="FD19" i="20"/>
  <c r="FE19" i="20"/>
  <c r="FF19" i="20"/>
  <c r="FG19" i="20"/>
  <c r="FH19" i="20"/>
  <c r="FI19" i="20"/>
  <c r="FJ19" i="20"/>
  <c r="FK19" i="20"/>
  <c r="FL19" i="20"/>
  <c r="FM19" i="20"/>
  <c r="FN19" i="20"/>
  <c r="FO19" i="20"/>
  <c r="FP19" i="20"/>
  <c r="FQ19" i="20"/>
  <c r="FR19" i="20"/>
  <c r="FS19" i="20"/>
  <c r="FT19" i="20"/>
  <c r="FU19" i="20"/>
  <c r="FV19" i="20"/>
  <c r="FW19" i="20"/>
  <c r="FX19" i="20"/>
  <c r="FY19" i="20"/>
  <c r="FZ19" i="20"/>
  <c r="GA19" i="20"/>
  <c r="GB19" i="20"/>
  <c r="GC19" i="20"/>
  <c r="GD19" i="20"/>
  <c r="GE19" i="20"/>
  <c r="GF19" i="20"/>
  <c r="GG19" i="20"/>
  <c r="GH19" i="20"/>
  <c r="GI19" i="20"/>
  <c r="GJ19" i="20"/>
  <c r="GK19" i="20"/>
  <c r="GL19" i="20"/>
  <c r="GM19" i="20"/>
  <c r="GN19" i="20"/>
  <c r="GO19" i="20"/>
  <c r="GP19" i="20"/>
  <c r="GQ19" i="20"/>
  <c r="GR19" i="20"/>
  <c r="GS19" i="20"/>
  <c r="GT19" i="20"/>
  <c r="GU19" i="20"/>
  <c r="GV19" i="20"/>
  <c r="GW19" i="20"/>
  <c r="GX19" i="20"/>
  <c r="GY19" i="20"/>
  <c r="GZ19" i="20"/>
  <c r="HA19" i="20"/>
  <c r="HB19" i="20"/>
  <c r="HC19" i="20"/>
  <c r="HD19" i="20"/>
  <c r="HE19" i="20"/>
  <c r="HF19" i="20"/>
  <c r="HG19" i="20"/>
  <c r="HH19" i="20"/>
  <c r="HI19" i="20"/>
  <c r="HJ19" i="20"/>
  <c r="HK19" i="20"/>
  <c r="HL19" i="20"/>
  <c r="HM19" i="20"/>
  <c r="HN19" i="20"/>
  <c r="HO19" i="20"/>
  <c r="HP19" i="20"/>
  <c r="HQ19" i="20"/>
  <c r="HR19" i="20"/>
  <c r="HS19" i="20"/>
  <c r="HT19" i="20"/>
  <c r="HU19" i="20"/>
  <c r="HV19" i="20"/>
  <c r="HW19" i="20"/>
  <c r="HX19" i="20"/>
  <c r="HY19" i="20"/>
  <c r="HZ19" i="20"/>
  <c r="IA19" i="20"/>
  <c r="IB19" i="20"/>
  <c r="IC19" i="20"/>
  <c r="ID19" i="20"/>
  <c r="IE19" i="20"/>
  <c r="IF19" i="20"/>
  <c r="IG19" i="20"/>
  <c r="IH19" i="20"/>
  <c r="II19" i="20"/>
  <c r="IJ19" i="20"/>
  <c r="IK19" i="20"/>
  <c r="IL19" i="20"/>
  <c r="IM19" i="20"/>
  <c r="IN19" i="20"/>
  <c r="IO19" i="20"/>
  <c r="IP19" i="20"/>
  <c r="IQ19" i="20"/>
  <c r="IR19" i="20"/>
  <c r="IS19" i="20"/>
  <c r="IT19" i="20"/>
  <c r="IU19" i="20"/>
  <c r="IV19" i="20"/>
  <c r="A18" i="20"/>
  <c r="B18" i="20"/>
  <c r="C18" i="20"/>
  <c r="D18" i="20"/>
  <c r="E18" i="20"/>
  <c r="F18" i="20"/>
  <c r="G18" i="20"/>
  <c r="H18" i="20"/>
  <c r="I18" i="20"/>
  <c r="J18" i="20"/>
  <c r="L18" i="20"/>
  <c r="M18" i="20"/>
  <c r="N18" i="20"/>
  <c r="O18" i="20"/>
  <c r="P18" i="20"/>
  <c r="Q18" i="20"/>
  <c r="R18" i="20"/>
  <c r="S18" i="20"/>
  <c r="T18" i="20"/>
  <c r="U18" i="20"/>
  <c r="V18" i="20"/>
  <c r="W18" i="20"/>
  <c r="X18" i="20"/>
  <c r="Y18" i="20"/>
  <c r="Z18" i="20"/>
  <c r="AA18" i="20"/>
  <c r="AB18" i="20"/>
  <c r="AC18" i="20"/>
  <c r="AD18" i="20"/>
  <c r="AE18" i="20"/>
  <c r="AF18" i="20"/>
  <c r="AG18" i="20"/>
  <c r="AH18" i="20"/>
  <c r="AI18" i="20"/>
  <c r="AJ18" i="20"/>
  <c r="AK18" i="20"/>
  <c r="AL18" i="20"/>
  <c r="AM18" i="20"/>
  <c r="AN18" i="20"/>
  <c r="AO18" i="20"/>
  <c r="AP18" i="20"/>
  <c r="AQ18" i="20"/>
  <c r="AR18" i="20"/>
  <c r="AS18" i="20"/>
  <c r="AT18" i="20"/>
  <c r="AU18" i="20"/>
  <c r="AV18" i="20"/>
  <c r="AW18" i="20"/>
  <c r="AX18" i="20"/>
  <c r="AY18" i="20"/>
  <c r="AZ18" i="20"/>
  <c r="BA18" i="20"/>
  <c r="BB18" i="20"/>
  <c r="BC18" i="20"/>
  <c r="BD18" i="20"/>
  <c r="BE18" i="20"/>
  <c r="BF18" i="20"/>
  <c r="BG18" i="20"/>
  <c r="BH18" i="20"/>
  <c r="BI18" i="20"/>
  <c r="BJ18" i="20"/>
  <c r="BK18" i="20"/>
  <c r="BL18" i="20"/>
  <c r="BM18" i="20"/>
  <c r="BN18" i="20"/>
  <c r="BO18" i="20"/>
  <c r="BP18" i="20"/>
  <c r="BQ18" i="20"/>
  <c r="BR18" i="20"/>
  <c r="BS18" i="20"/>
  <c r="BT18" i="20"/>
  <c r="BU18" i="20"/>
  <c r="BV18" i="20"/>
  <c r="BW18" i="20"/>
  <c r="BX18" i="20"/>
  <c r="CF18" i="20"/>
  <c r="CH18" i="20"/>
  <c r="CI18" i="20"/>
  <c r="CJ18" i="20"/>
  <c r="CK18" i="20"/>
  <c r="CL18" i="20"/>
  <c r="CM18" i="20"/>
  <c r="CN18" i="20"/>
  <c r="CO18" i="20"/>
  <c r="CP18" i="20"/>
  <c r="CQ18" i="20"/>
  <c r="CR18" i="20"/>
  <c r="CS18" i="20"/>
  <c r="CT18" i="20"/>
  <c r="CU18" i="20"/>
  <c r="CV18" i="20"/>
  <c r="CW18" i="20"/>
  <c r="CX18" i="20"/>
  <c r="CY18" i="20"/>
  <c r="CZ18" i="20"/>
  <c r="DA18" i="20"/>
  <c r="DB18" i="20"/>
  <c r="DC18" i="20"/>
  <c r="DD18" i="20"/>
  <c r="DE18" i="20"/>
  <c r="DF18" i="20"/>
  <c r="DG18" i="20"/>
  <c r="DH18" i="20"/>
  <c r="DI18" i="20"/>
  <c r="DJ18" i="20"/>
  <c r="DK18" i="20"/>
  <c r="DL18" i="20"/>
  <c r="DM18" i="20"/>
  <c r="DN18" i="20"/>
  <c r="DO18" i="20"/>
  <c r="DP18" i="20"/>
  <c r="DQ18" i="20"/>
  <c r="DR18" i="20"/>
  <c r="DS18" i="20"/>
  <c r="DT18" i="20"/>
  <c r="DU18" i="20"/>
  <c r="DV18" i="20"/>
  <c r="DW18" i="20"/>
  <c r="DX18" i="20"/>
  <c r="DY18" i="20"/>
  <c r="DZ18" i="20"/>
  <c r="EA18" i="20"/>
  <c r="EB18" i="20"/>
  <c r="EC18" i="20"/>
  <c r="ED18" i="20"/>
  <c r="EE18" i="20"/>
  <c r="EF18" i="20"/>
  <c r="EG18" i="20"/>
  <c r="EH18" i="20"/>
  <c r="EI18" i="20"/>
  <c r="EJ18" i="20"/>
  <c r="EK18" i="20"/>
  <c r="EL18" i="20"/>
  <c r="EM18" i="20"/>
  <c r="EN18" i="20"/>
  <c r="EO18" i="20"/>
  <c r="EP18" i="20"/>
  <c r="EQ18" i="20"/>
  <c r="ER18" i="20"/>
  <c r="ES18" i="20"/>
  <c r="ET18" i="20"/>
  <c r="EU18" i="20"/>
  <c r="EV18" i="20"/>
  <c r="EW18" i="20"/>
  <c r="EX18" i="20"/>
  <c r="EY18" i="20"/>
  <c r="EZ18" i="20"/>
  <c r="FA18" i="20"/>
  <c r="FB18" i="20"/>
  <c r="FC18" i="20"/>
  <c r="FD18" i="20"/>
  <c r="FE18" i="20"/>
  <c r="FF18" i="20"/>
  <c r="FG18" i="20"/>
  <c r="FH18" i="20"/>
  <c r="FI18" i="20"/>
  <c r="FJ18" i="20"/>
  <c r="FK18" i="20"/>
  <c r="FL18" i="20"/>
  <c r="FM18" i="20"/>
  <c r="FN18" i="20"/>
  <c r="FO18" i="20"/>
  <c r="FP18" i="20"/>
  <c r="FQ18" i="20"/>
  <c r="FR18" i="20"/>
  <c r="FS18" i="20"/>
  <c r="FT18" i="20"/>
  <c r="FU18" i="20"/>
  <c r="FV18" i="20"/>
  <c r="FW18" i="20"/>
  <c r="FX18" i="20"/>
  <c r="FY18" i="20"/>
  <c r="FZ18" i="20"/>
  <c r="GA18" i="20"/>
  <c r="GB18" i="20"/>
  <c r="GC18" i="20"/>
  <c r="GD18" i="20"/>
  <c r="GE18" i="20"/>
  <c r="GF18" i="20"/>
  <c r="GG18" i="20"/>
  <c r="GH18" i="20"/>
  <c r="GI18" i="20"/>
  <c r="GJ18" i="20"/>
  <c r="GK18" i="20"/>
  <c r="GL18" i="20"/>
  <c r="GM18" i="20"/>
  <c r="GN18" i="20"/>
  <c r="GO18" i="20"/>
  <c r="GP18" i="20"/>
  <c r="GQ18" i="20"/>
  <c r="GR18" i="20"/>
  <c r="GS18" i="20"/>
  <c r="GT18" i="20"/>
  <c r="GU18" i="20"/>
  <c r="GV18" i="20"/>
  <c r="GW18" i="20"/>
  <c r="GX18" i="20"/>
  <c r="GY18" i="20"/>
  <c r="GZ18" i="20"/>
  <c r="HA18" i="20"/>
  <c r="HB18" i="20"/>
  <c r="HC18" i="20"/>
  <c r="HD18" i="20"/>
  <c r="HE18" i="20"/>
  <c r="HF18" i="20"/>
  <c r="HG18" i="20"/>
  <c r="HH18" i="20"/>
  <c r="HI18" i="20"/>
  <c r="HJ18" i="20"/>
  <c r="HK18" i="20"/>
  <c r="HL18" i="20"/>
  <c r="HM18" i="20"/>
  <c r="HN18" i="20"/>
  <c r="HO18" i="20"/>
  <c r="HP18" i="20"/>
  <c r="HQ18" i="20"/>
  <c r="HR18" i="20"/>
  <c r="HS18" i="20"/>
  <c r="HT18" i="20"/>
  <c r="HU18" i="20"/>
  <c r="HV18" i="20"/>
  <c r="HW18" i="20"/>
  <c r="HX18" i="20"/>
  <c r="HY18" i="20"/>
  <c r="HZ18" i="20"/>
  <c r="IA18" i="20"/>
  <c r="IB18" i="20"/>
  <c r="IC18" i="20"/>
  <c r="ID18" i="20"/>
  <c r="IE18" i="20"/>
  <c r="IF18" i="20"/>
  <c r="IG18" i="20"/>
  <c r="IH18" i="20"/>
  <c r="II18" i="20"/>
  <c r="IJ18" i="20"/>
  <c r="IK18" i="20"/>
  <c r="IL18" i="20"/>
  <c r="IM18" i="20"/>
  <c r="IN18" i="20"/>
  <c r="IO18" i="20"/>
  <c r="IP18" i="20"/>
  <c r="IQ18" i="20"/>
  <c r="IR18" i="20"/>
  <c r="IS18" i="20"/>
  <c r="IT18" i="20"/>
  <c r="IU18" i="20"/>
  <c r="IV18" i="20"/>
  <c r="A17" i="20"/>
  <c r="B17" i="20"/>
  <c r="C17" i="20"/>
  <c r="D17" i="20"/>
  <c r="E17" i="20"/>
  <c r="F17" i="20"/>
  <c r="G17" i="20"/>
  <c r="H17" i="20"/>
  <c r="I17" i="20"/>
  <c r="J17" i="20"/>
  <c r="K17" i="20"/>
  <c r="L17" i="20"/>
  <c r="M17" i="20"/>
  <c r="N17" i="20"/>
  <c r="P17" i="20"/>
  <c r="Q17" i="20"/>
  <c r="R17" i="20"/>
  <c r="S17" i="20"/>
  <c r="T17" i="20"/>
  <c r="U17" i="20"/>
  <c r="V17" i="20"/>
  <c r="W17" i="20"/>
  <c r="X17" i="20"/>
  <c r="Y17" i="20"/>
  <c r="Z17" i="20"/>
  <c r="AA17" i="20"/>
  <c r="AB17" i="20"/>
  <c r="AC17" i="20"/>
  <c r="AD17" i="20"/>
  <c r="AE17" i="20"/>
  <c r="AF17" i="20"/>
  <c r="AG17" i="20"/>
  <c r="AH17" i="20"/>
  <c r="AI17" i="20"/>
  <c r="AJ17" i="20"/>
  <c r="AK17" i="20"/>
  <c r="AL17" i="20"/>
  <c r="AM17" i="20"/>
  <c r="AN17" i="20"/>
  <c r="AO17" i="20"/>
  <c r="AP17" i="20"/>
  <c r="AQ17" i="20"/>
  <c r="AR17" i="20"/>
  <c r="AS17" i="20"/>
  <c r="AT17" i="20"/>
  <c r="AU17" i="20"/>
  <c r="AV17" i="20"/>
  <c r="AW17" i="20"/>
  <c r="AX17" i="20"/>
  <c r="AY17" i="20"/>
  <c r="AZ17" i="20"/>
  <c r="BA17" i="20"/>
  <c r="BB17" i="20"/>
  <c r="BC17" i="20"/>
  <c r="BD17" i="20"/>
  <c r="BE17" i="20"/>
  <c r="BF17" i="20"/>
  <c r="BG17" i="20"/>
  <c r="BH17" i="20"/>
  <c r="BI17" i="20"/>
  <c r="BJ17" i="20"/>
  <c r="BK17" i="20"/>
  <c r="BL17" i="20"/>
  <c r="BM17" i="20"/>
  <c r="BN17" i="20"/>
  <c r="BO17" i="20"/>
  <c r="BP17" i="20"/>
  <c r="BQ17" i="20"/>
  <c r="BR17" i="20"/>
  <c r="BS17" i="20"/>
  <c r="BT17" i="20"/>
  <c r="BU17" i="20"/>
  <c r="BV17" i="20"/>
  <c r="BW17" i="20"/>
  <c r="BX17" i="20"/>
  <c r="BY17" i="20"/>
  <c r="BZ17" i="20"/>
  <c r="CA17" i="20"/>
  <c r="CB17" i="20"/>
  <c r="CC17" i="20"/>
  <c r="CD17" i="20"/>
  <c r="CE17" i="20"/>
  <c r="CF17" i="20"/>
  <c r="CG17" i="20"/>
  <c r="CH17" i="20"/>
  <c r="CI17" i="20"/>
  <c r="CJ17" i="20"/>
  <c r="CK17" i="20"/>
  <c r="CL17" i="20"/>
  <c r="CM17" i="20"/>
  <c r="CN17" i="20"/>
  <c r="CO17" i="20"/>
  <c r="CP17" i="20"/>
  <c r="CQ17" i="20"/>
  <c r="CR17" i="20"/>
  <c r="CS17" i="20"/>
  <c r="CT17" i="20"/>
  <c r="CU17" i="20"/>
  <c r="CV17" i="20"/>
  <c r="CW17" i="20"/>
  <c r="CX17" i="20"/>
  <c r="CY17" i="20"/>
  <c r="CZ17" i="20"/>
  <c r="DA17" i="20"/>
  <c r="DB17" i="20"/>
  <c r="DC17" i="20"/>
  <c r="DD17" i="20"/>
  <c r="DE17" i="20"/>
  <c r="DF17" i="20"/>
  <c r="DG17" i="20"/>
  <c r="DH17" i="20"/>
  <c r="DI17" i="20"/>
  <c r="DJ17" i="20"/>
  <c r="DK17" i="20"/>
  <c r="DL17" i="20"/>
  <c r="DM17" i="20"/>
  <c r="DN17" i="20"/>
  <c r="DO17" i="20"/>
  <c r="DP17" i="20"/>
  <c r="DQ17" i="20"/>
  <c r="DR17" i="20"/>
  <c r="DS17" i="20"/>
  <c r="DT17" i="20"/>
  <c r="DU17" i="20"/>
  <c r="DV17" i="20"/>
  <c r="DW17" i="20"/>
  <c r="DX17" i="20"/>
  <c r="DY17" i="20"/>
  <c r="DZ17" i="20"/>
  <c r="EA17" i="20"/>
  <c r="EB17" i="20"/>
  <c r="EC17" i="20"/>
  <c r="ED17" i="20"/>
  <c r="EE17" i="20"/>
  <c r="EF17" i="20"/>
  <c r="EG17" i="20"/>
  <c r="EH17" i="20"/>
  <c r="EI17" i="20"/>
  <c r="EJ17" i="20"/>
  <c r="EK17" i="20"/>
  <c r="EL17" i="20"/>
  <c r="EM17" i="20"/>
  <c r="EN17" i="20"/>
  <c r="EO17" i="20"/>
  <c r="EP17" i="20"/>
  <c r="EQ17" i="20"/>
  <c r="ER17" i="20"/>
  <c r="ES17" i="20"/>
  <c r="ET17" i="20"/>
  <c r="EU17" i="20"/>
  <c r="EV17" i="20"/>
  <c r="EW17" i="20"/>
  <c r="EX17" i="20"/>
  <c r="EY17" i="20"/>
  <c r="EZ17" i="20"/>
  <c r="FA17" i="20"/>
  <c r="FB17" i="20"/>
  <c r="FC17" i="20"/>
  <c r="FD17" i="20"/>
  <c r="FE17" i="20"/>
  <c r="FF17" i="20"/>
  <c r="FG17" i="20"/>
  <c r="FH17" i="20"/>
  <c r="FI17" i="20"/>
  <c r="FJ17" i="20"/>
  <c r="FK17" i="20"/>
  <c r="FL17" i="20"/>
  <c r="FM17" i="20"/>
  <c r="FN17" i="20"/>
  <c r="FO17" i="20"/>
  <c r="FP17" i="20"/>
  <c r="FQ17" i="20"/>
  <c r="FR17" i="20"/>
  <c r="FS17" i="20"/>
  <c r="FT17" i="20"/>
  <c r="FU17" i="20"/>
  <c r="FV17" i="20"/>
  <c r="FW17" i="20"/>
  <c r="FX17" i="20"/>
  <c r="FY17" i="20"/>
  <c r="FZ17" i="20"/>
  <c r="GA17" i="20"/>
  <c r="GB17" i="20"/>
  <c r="GC17" i="20"/>
  <c r="GD17" i="20"/>
  <c r="GE17" i="20"/>
  <c r="GF17" i="20"/>
  <c r="GG17" i="20"/>
  <c r="GH17" i="20"/>
  <c r="GI17" i="20"/>
  <c r="GJ17" i="20"/>
  <c r="GK17" i="20"/>
  <c r="GL17" i="20"/>
  <c r="GM17" i="20"/>
  <c r="GN17" i="20"/>
  <c r="GO17" i="20"/>
  <c r="GP17" i="20"/>
  <c r="GQ17" i="20"/>
  <c r="GR17" i="20"/>
  <c r="GS17" i="20"/>
  <c r="GT17" i="20"/>
  <c r="GU17" i="20"/>
  <c r="GV17" i="20"/>
  <c r="GW17" i="20"/>
  <c r="GX17" i="20"/>
  <c r="GY17" i="20"/>
  <c r="GZ17" i="20"/>
  <c r="HA17" i="20"/>
  <c r="HB17" i="20"/>
  <c r="HC17" i="20"/>
  <c r="HD17" i="20"/>
  <c r="HE17" i="20"/>
  <c r="HF17" i="20"/>
  <c r="HG17" i="20"/>
  <c r="HH17" i="20"/>
  <c r="HI17" i="20"/>
  <c r="HJ17" i="20"/>
  <c r="HK17" i="20"/>
  <c r="HL17" i="20"/>
  <c r="HM17" i="20"/>
  <c r="HN17" i="20"/>
  <c r="HO17" i="20"/>
  <c r="HP17" i="20"/>
  <c r="HQ17" i="20"/>
  <c r="HR17" i="20"/>
  <c r="HS17" i="20"/>
  <c r="HT17" i="20"/>
  <c r="HU17" i="20"/>
  <c r="HV17" i="20"/>
  <c r="HW17" i="20"/>
  <c r="HX17" i="20"/>
  <c r="HY17" i="20"/>
  <c r="HZ17" i="20"/>
  <c r="IA17" i="20"/>
  <c r="IB17" i="20"/>
  <c r="IC17" i="20"/>
  <c r="ID17" i="20"/>
  <c r="IE17" i="20"/>
  <c r="IF17" i="20"/>
  <c r="IG17" i="20"/>
  <c r="IH17" i="20"/>
  <c r="II17" i="20"/>
  <c r="IJ17" i="20"/>
  <c r="IK17" i="20"/>
  <c r="IL17" i="20"/>
  <c r="IM17" i="20"/>
  <c r="IN17" i="20"/>
  <c r="IO17" i="20"/>
  <c r="IP17" i="20"/>
  <c r="IQ17" i="20"/>
  <c r="IR17" i="20"/>
  <c r="IS17" i="20"/>
  <c r="IT17" i="20"/>
  <c r="IU17" i="20"/>
  <c r="IV17" i="20"/>
  <c r="A16"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G16" i="20"/>
  <c r="AH16" i="20"/>
  <c r="AI16" i="20"/>
  <c r="AJ16" i="20"/>
  <c r="AK16" i="20"/>
  <c r="AL16" i="20"/>
  <c r="AM16" i="20"/>
  <c r="AN16" i="20"/>
  <c r="AO16" i="20"/>
  <c r="AP16" i="20"/>
  <c r="AQ16" i="20"/>
  <c r="AR16" i="20"/>
  <c r="AS16" i="20"/>
  <c r="AT16" i="20"/>
  <c r="AU16" i="20"/>
  <c r="AV16" i="20"/>
  <c r="AW16" i="20"/>
  <c r="AX16" i="20"/>
  <c r="AY16" i="20"/>
  <c r="AZ16" i="20"/>
  <c r="BA16" i="20"/>
  <c r="BB16" i="20"/>
  <c r="BC16" i="20"/>
  <c r="BD16" i="20"/>
  <c r="BE16" i="20"/>
  <c r="BF16" i="20"/>
  <c r="BG16" i="20"/>
  <c r="BH16" i="20"/>
  <c r="BI16" i="20"/>
  <c r="BJ16" i="20"/>
  <c r="BK16" i="20"/>
  <c r="BL16" i="20"/>
  <c r="BM16" i="20"/>
  <c r="BN16" i="20"/>
  <c r="BO16" i="20"/>
  <c r="BP16" i="20"/>
  <c r="BQ16" i="20"/>
  <c r="BR16" i="20"/>
  <c r="BS16" i="20"/>
  <c r="BT16" i="20"/>
  <c r="BU16" i="20"/>
  <c r="BV16" i="20"/>
  <c r="BW16" i="20"/>
  <c r="BX16" i="20"/>
  <c r="BY16" i="20"/>
  <c r="BZ16" i="20"/>
  <c r="CA16" i="20"/>
  <c r="CB16" i="20"/>
  <c r="CC16" i="20"/>
  <c r="CD16" i="20"/>
  <c r="CE16" i="20"/>
  <c r="CF16" i="20"/>
  <c r="CG16" i="20"/>
  <c r="CH16" i="20"/>
  <c r="CI16" i="20"/>
  <c r="CJ16" i="20"/>
  <c r="CK16" i="20"/>
  <c r="CL16" i="20"/>
  <c r="CM16" i="20"/>
  <c r="CN16" i="20"/>
  <c r="CO16" i="20"/>
  <c r="CP16" i="20"/>
  <c r="CQ16" i="20"/>
  <c r="CR16" i="20"/>
  <c r="CS16" i="20"/>
  <c r="CT16" i="20"/>
  <c r="CU16" i="20"/>
  <c r="CV16" i="20"/>
  <c r="CW16" i="20"/>
  <c r="CX16" i="20"/>
  <c r="CY16" i="20"/>
  <c r="CZ16" i="20"/>
  <c r="DA16" i="20"/>
  <c r="DB16" i="20"/>
  <c r="DC16" i="20"/>
  <c r="DD16" i="20"/>
  <c r="DE16" i="20"/>
  <c r="DF16" i="20"/>
  <c r="DG16" i="20"/>
  <c r="DH16" i="20"/>
  <c r="DI16" i="20"/>
  <c r="DJ16" i="20"/>
  <c r="DK16" i="20"/>
  <c r="DL16" i="20"/>
  <c r="DM16" i="20"/>
  <c r="DN16" i="20"/>
  <c r="DO16" i="20"/>
  <c r="DP16" i="20"/>
  <c r="DQ16" i="20"/>
  <c r="DR16" i="20"/>
  <c r="DS16" i="20"/>
  <c r="DT16" i="20"/>
  <c r="DU16" i="20"/>
  <c r="DV16" i="20"/>
  <c r="DW16" i="20"/>
  <c r="DX16" i="20"/>
  <c r="DY16" i="20"/>
  <c r="DZ16" i="20"/>
  <c r="EA16" i="20"/>
  <c r="EB16" i="20"/>
  <c r="EC16" i="20"/>
  <c r="ED16" i="20"/>
  <c r="EE16" i="20"/>
  <c r="EF16" i="20"/>
  <c r="EG16" i="20"/>
  <c r="EH16" i="20"/>
  <c r="EI16" i="20"/>
  <c r="EJ16" i="20"/>
  <c r="EK16" i="20"/>
  <c r="EL16" i="20"/>
  <c r="EM16" i="20"/>
  <c r="EN16" i="20"/>
  <c r="EO16" i="20"/>
  <c r="EP16" i="20"/>
  <c r="EQ16" i="20"/>
  <c r="ER16" i="20"/>
  <c r="ES16" i="20"/>
  <c r="ET16" i="20"/>
  <c r="EU16" i="20"/>
  <c r="EV16" i="20"/>
  <c r="EW16" i="20"/>
  <c r="EX16" i="20"/>
  <c r="EY16" i="20"/>
  <c r="EZ16" i="20"/>
  <c r="FA16" i="20"/>
  <c r="FB16" i="20"/>
  <c r="FC16" i="20"/>
  <c r="FD16" i="20"/>
  <c r="FE16" i="20"/>
  <c r="FF16" i="20"/>
  <c r="FG16" i="20"/>
  <c r="FH16" i="20"/>
  <c r="FI16" i="20"/>
  <c r="FJ16" i="20"/>
  <c r="FK16" i="20"/>
  <c r="FL16" i="20"/>
  <c r="FM16" i="20"/>
  <c r="FN16" i="20"/>
  <c r="FO16" i="20"/>
  <c r="FP16" i="20"/>
  <c r="FQ16" i="20"/>
  <c r="FR16" i="20"/>
  <c r="FS16" i="20"/>
  <c r="FT16" i="20"/>
  <c r="FU16" i="20"/>
  <c r="FV16" i="20"/>
  <c r="FW16" i="20"/>
  <c r="FX16" i="20"/>
  <c r="FY16" i="20"/>
  <c r="FZ16" i="20"/>
  <c r="GA16" i="20"/>
  <c r="GB16" i="20"/>
  <c r="GC16" i="20"/>
  <c r="GD16" i="20"/>
  <c r="GE16" i="20"/>
  <c r="GF16" i="20"/>
  <c r="GG16" i="20"/>
  <c r="GH16" i="20"/>
  <c r="GI16" i="20"/>
  <c r="GJ16" i="20"/>
  <c r="GK16" i="20"/>
  <c r="GL16" i="20"/>
  <c r="GM16" i="20"/>
  <c r="GN16" i="20"/>
  <c r="GO16" i="20"/>
  <c r="GP16" i="20"/>
  <c r="GQ16" i="20"/>
  <c r="GR16" i="20"/>
  <c r="GS16" i="20"/>
  <c r="GT16" i="20"/>
  <c r="GU16" i="20"/>
  <c r="GV16" i="20"/>
  <c r="GW16" i="20"/>
  <c r="GX16" i="20"/>
  <c r="GY16" i="20"/>
  <c r="GZ16" i="20"/>
  <c r="HA16" i="20"/>
  <c r="HB16" i="20"/>
  <c r="HC16" i="20"/>
  <c r="HD16" i="20"/>
  <c r="HE16" i="20"/>
  <c r="HF16" i="20"/>
  <c r="HG16" i="20"/>
  <c r="HH16" i="20"/>
  <c r="HI16" i="20"/>
  <c r="HJ16" i="20"/>
  <c r="HK16" i="20"/>
  <c r="HL16" i="20"/>
  <c r="HM16" i="20"/>
  <c r="HN16" i="20"/>
  <c r="HO16" i="20"/>
  <c r="HP16" i="20"/>
  <c r="HQ16" i="20"/>
  <c r="HR16" i="20"/>
  <c r="HS16" i="20"/>
  <c r="HT16" i="20"/>
  <c r="HU16" i="20"/>
  <c r="HV16" i="20"/>
  <c r="HW16" i="20"/>
  <c r="HX16" i="20"/>
  <c r="HY16" i="20"/>
  <c r="HZ16" i="20"/>
  <c r="IA16" i="20"/>
  <c r="IB16" i="20"/>
  <c r="IC16" i="20"/>
  <c r="ID16" i="20"/>
  <c r="IE16" i="20"/>
  <c r="IF16" i="20"/>
  <c r="IG16" i="20"/>
  <c r="IH16" i="20"/>
  <c r="II16" i="20"/>
  <c r="IJ16" i="20"/>
  <c r="IK16" i="20"/>
  <c r="IL16" i="20"/>
  <c r="IM16" i="20"/>
  <c r="IN16" i="20"/>
  <c r="IO16" i="20"/>
  <c r="IP16" i="20"/>
  <c r="IQ16" i="20"/>
  <c r="IR16" i="20"/>
  <c r="IS16" i="20"/>
  <c r="IT16" i="20"/>
  <c r="IU16" i="20"/>
  <c r="IV16" i="20"/>
  <c r="A15"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G15" i="20"/>
  <c r="AH15" i="20"/>
  <c r="AI15" i="20"/>
  <c r="AJ15" i="20"/>
  <c r="AK15" i="20"/>
  <c r="AL15" i="20"/>
  <c r="AM15" i="20"/>
  <c r="AN15" i="20"/>
  <c r="AO15" i="20"/>
  <c r="AP15" i="20"/>
  <c r="AQ15" i="20"/>
  <c r="AR15" i="20"/>
  <c r="AS15" i="20"/>
  <c r="AT15" i="20"/>
  <c r="AU15" i="20"/>
  <c r="AV15" i="20"/>
  <c r="AW15" i="20"/>
  <c r="AX15" i="20"/>
  <c r="AY15" i="20"/>
  <c r="AZ15" i="20"/>
  <c r="BA15" i="20"/>
  <c r="BB15" i="20"/>
  <c r="BC15" i="20"/>
  <c r="BD15" i="20"/>
  <c r="BE15" i="20"/>
  <c r="BF15" i="20"/>
  <c r="BG15" i="20"/>
  <c r="BH15" i="20"/>
  <c r="BI15" i="20"/>
  <c r="BJ15" i="20"/>
  <c r="BK15" i="20"/>
  <c r="BL15" i="20"/>
  <c r="BM15" i="20"/>
  <c r="BN15" i="20"/>
  <c r="BO15" i="20"/>
  <c r="BP15" i="20"/>
  <c r="BQ15" i="20"/>
  <c r="BR15" i="20"/>
  <c r="BS15" i="20"/>
  <c r="BT15" i="20"/>
  <c r="BU15" i="20"/>
  <c r="BV15" i="20"/>
  <c r="BW15" i="20"/>
  <c r="BX15" i="20"/>
  <c r="BY15" i="20"/>
  <c r="BZ15" i="20"/>
  <c r="CA15" i="20"/>
  <c r="CB15" i="20"/>
  <c r="CC15" i="20"/>
  <c r="CD15" i="20"/>
  <c r="CE15" i="20"/>
  <c r="CF15" i="20"/>
  <c r="CG15" i="20"/>
  <c r="CH15" i="20"/>
  <c r="CI15" i="20"/>
  <c r="CJ15" i="20"/>
  <c r="CK15" i="20"/>
  <c r="CL15" i="20"/>
  <c r="CM15" i="20"/>
  <c r="CN15" i="20"/>
  <c r="CO15" i="20"/>
  <c r="CP15" i="20"/>
  <c r="CQ15" i="20"/>
  <c r="CR15" i="20"/>
  <c r="CS15" i="20"/>
  <c r="CT15" i="20"/>
  <c r="CU15" i="20"/>
  <c r="CV15" i="20"/>
  <c r="CW15" i="20"/>
  <c r="CX15" i="20"/>
  <c r="CY15" i="20"/>
  <c r="CZ15" i="20"/>
  <c r="DA15" i="20"/>
  <c r="DB15" i="20"/>
  <c r="DC15" i="20"/>
  <c r="DD15" i="20"/>
  <c r="DE15" i="20"/>
  <c r="DF15" i="20"/>
  <c r="DG15" i="20"/>
  <c r="DH15" i="20"/>
  <c r="DI15" i="20"/>
  <c r="DJ15" i="20"/>
  <c r="DK15" i="20"/>
  <c r="DL15" i="20"/>
  <c r="DM15" i="20"/>
  <c r="DN15" i="20"/>
  <c r="DO15" i="20"/>
  <c r="DP15" i="20"/>
  <c r="DQ15" i="20"/>
  <c r="DR15" i="20"/>
  <c r="DS15" i="20"/>
  <c r="DT15" i="20"/>
  <c r="DU15" i="20"/>
  <c r="DV15" i="20"/>
  <c r="DW15" i="20"/>
  <c r="DX15" i="20"/>
  <c r="DY15" i="20"/>
  <c r="DZ15" i="20"/>
  <c r="EA15" i="20"/>
  <c r="EB15" i="20"/>
  <c r="EC15" i="20"/>
  <c r="ED15" i="20"/>
  <c r="EE15" i="20"/>
  <c r="EF15" i="20"/>
  <c r="EG15" i="20"/>
  <c r="EH15" i="20"/>
  <c r="EI15" i="20"/>
  <c r="EJ15" i="20"/>
  <c r="EK15" i="20"/>
  <c r="EL15" i="20"/>
  <c r="EM15" i="20"/>
  <c r="EN15" i="20"/>
  <c r="EO15" i="20"/>
  <c r="EP15" i="20"/>
  <c r="EQ15" i="20"/>
  <c r="ER15" i="20"/>
  <c r="ES15" i="20"/>
  <c r="ET15" i="20"/>
  <c r="EU15" i="20"/>
  <c r="EV15" i="20"/>
  <c r="EW15" i="20"/>
  <c r="EX15" i="20"/>
  <c r="EY15" i="20"/>
  <c r="EZ15" i="20"/>
  <c r="FA15" i="20"/>
  <c r="FB15" i="20"/>
  <c r="FC15" i="20"/>
  <c r="FD15" i="20"/>
  <c r="FE15" i="20"/>
  <c r="FF15" i="20"/>
  <c r="FG15" i="20"/>
  <c r="FH15" i="20"/>
  <c r="FI15" i="20"/>
  <c r="FJ15" i="20"/>
  <c r="FK15" i="20"/>
  <c r="FL15" i="20"/>
  <c r="FM15" i="20"/>
  <c r="FN15" i="20"/>
  <c r="FO15" i="20"/>
  <c r="FP15" i="20"/>
  <c r="FQ15" i="20"/>
  <c r="FR15" i="20"/>
  <c r="FS15" i="20"/>
  <c r="FT15" i="20"/>
  <c r="FU15" i="20"/>
  <c r="FV15" i="20"/>
  <c r="FW15" i="20"/>
  <c r="FX15" i="20"/>
  <c r="FY15" i="20"/>
  <c r="FZ15" i="20"/>
  <c r="GA15" i="20"/>
  <c r="GB15" i="20"/>
  <c r="GC15" i="20"/>
  <c r="GD15" i="20"/>
  <c r="GE15" i="20"/>
  <c r="GF15" i="20"/>
  <c r="GG15" i="20"/>
  <c r="GH15" i="20"/>
  <c r="GI15" i="20"/>
  <c r="GJ15" i="20"/>
  <c r="GK15" i="20"/>
  <c r="GL15" i="20"/>
  <c r="GM15" i="20"/>
  <c r="GN15" i="20"/>
  <c r="GO15" i="20"/>
  <c r="GP15" i="20"/>
  <c r="GQ15" i="20"/>
  <c r="GR15" i="20"/>
  <c r="GS15" i="20"/>
  <c r="GT15" i="20"/>
  <c r="GU15" i="20"/>
  <c r="GV15" i="20"/>
  <c r="GW15" i="20"/>
  <c r="GX15" i="20"/>
  <c r="GY15" i="20"/>
  <c r="GZ15" i="20"/>
  <c r="HA15" i="20"/>
  <c r="HB15" i="20"/>
  <c r="HC15" i="20"/>
  <c r="HD15" i="20"/>
  <c r="HE15" i="20"/>
  <c r="HF15" i="20"/>
  <c r="HG15" i="20"/>
  <c r="HH15" i="20"/>
  <c r="HI15" i="20"/>
  <c r="HJ15" i="20"/>
  <c r="HK15" i="20"/>
  <c r="HL15" i="20"/>
  <c r="HM15" i="20"/>
  <c r="HN15" i="20"/>
  <c r="HO15" i="20"/>
  <c r="HP15" i="20"/>
  <c r="HQ15" i="20"/>
  <c r="HR15" i="20"/>
  <c r="HS15" i="20"/>
  <c r="HT15" i="20"/>
  <c r="HU15" i="20"/>
  <c r="HV15" i="20"/>
  <c r="HW15" i="20"/>
  <c r="HX15" i="20"/>
  <c r="HY15" i="20"/>
  <c r="HZ15" i="20"/>
  <c r="IA15" i="20"/>
  <c r="IB15" i="20"/>
  <c r="IC15" i="20"/>
  <c r="ID15" i="20"/>
  <c r="IE15" i="20"/>
  <c r="IF15" i="20"/>
  <c r="IG15" i="20"/>
  <c r="IH15" i="20"/>
  <c r="II15" i="20"/>
  <c r="IJ15" i="20"/>
  <c r="IK15" i="20"/>
  <c r="IL15" i="20"/>
  <c r="IM15" i="20"/>
  <c r="IN15" i="20"/>
  <c r="IO15" i="20"/>
  <c r="IP15" i="20"/>
  <c r="IQ15" i="20"/>
  <c r="IR15" i="20"/>
  <c r="IS15" i="20"/>
  <c r="IT15" i="20"/>
  <c r="IU15" i="20"/>
  <c r="IV15" i="20"/>
  <c r="A14"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H14" i="20"/>
  <c r="AI14" i="20"/>
  <c r="AJ14" i="20"/>
  <c r="AK14" i="20"/>
  <c r="AL14" i="20"/>
  <c r="AM14" i="20"/>
  <c r="AN14" i="20"/>
  <c r="AO14" i="20"/>
  <c r="AP14" i="20"/>
  <c r="AQ14" i="20"/>
  <c r="AR14" i="20"/>
  <c r="AS14" i="20"/>
  <c r="AT14" i="20"/>
  <c r="AU14" i="20"/>
  <c r="AV14" i="20"/>
  <c r="AW14" i="20"/>
  <c r="AX14" i="20"/>
  <c r="AY14" i="20"/>
  <c r="AZ14" i="20"/>
  <c r="BA14" i="20"/>
  <c r="BB14" i="20"/>
  <c r="BC14" i="20"/>
  <c r="BD14" i="20"/>
  <c r="BE14" i="20"/>
  <c r="BF14" i="20"/>
  <c r="BG14" i="20"/>
  <c r="BH14" i="20"/>
  <c r="BI14" i="20"/>
  <c r="BJ14" i="20"/>
  <c r="BK14" i="20"/>
  <c r="BL14" i="20"/>
  <c r="BM14" i="20"/>
  <c r="BN14" i="20"/>
  <c r="BO14" i="20"/>
  <c r="BP14" i="20"/>
  <c r="BQ14" i="20"/>
  <c r="BR14" i="20"/>
  <c r="BS14" i="20"/>
  <c r="BT14" i="20"/>
  <c r="BU14" i="20"/>
  <c r="BV14" i="20"/>
  <c r="BW14" i="20"/>
  <c r="BX14" i="20"/>
  <c r="BY14" i="20"/>
  <c r="BZ14" i="20"/>
  <c r="CA14" i="20"/>
  <c r="CB14" i="20"/>
  <c r="CC14" i="20"/>
  <c r="CD14" i="20"/>
  <c r="CE14" i="20"/>
  <c r="CF14" i="20"/>
  <c r="CG14" i="20"/>
  <c r="CH14" i="20"/>
  <c r="CI14" i="20"/>
  <c r="CJ14" i="20"/>
  <c r="CK14" i="20"/>
  <c r="CL14" i="20"/>
  <c r="CM14" i="20"/>
  <c r="CN14" i="20"/>
  <c r="CO14" i="20"/>
  <c r="CP14" i="20"/>
  <c r="CQ14" i="20"/>
  <c r="CR14" i="20"/>
  <c r="CS14" i="20"/>
  <c r="CT14" i="20"/>
  <c r="CU14" i="20"/>
  <c r="CV14" i="20"/>
  <c r="CW14" i="20"/>
  <c r="CX14" i="20"/>
  <c r="CY14" i="20"/>
  <c r="CZ14" i="20"/>
  <c r="DA14" i="20"/>
  <c r="DB14" i="20"/>
  <c r="DC14" i="20"/>
  <c r="DD14" i="20"/>
  <c r="DE14" i="20"/>
  <c r="DF14" i="20"/>
  <c r="DG14" i="20"/>
  <c r="DH14" i="20"/>
  <c r="DI14" i="20"/>
  <c r="DJ14" i="20"/>
  <c r="DK14" i="20"/>
  <c r="DL14" i="20"/>
  <c r="DM14" i="20"/>
  <c r="DN14" i="20"/>
  <c r="DO14" i="20"/>
  <c r="DP14" i="20"/>
  <c r="DQ14" i="20"/>
  <c r="DR14" i="20"/>
  <c r="DS14" i="20"/>
  <c r="DT14" i="20"/>
  <c r="DU14" i="20"/>
  <c r="DV14" i="20"/>
  <c r="DW14" i="20"/>
  <c r="DX14" i="20"/>
  <c r="DY14" i="20"/>
  <c r="DZ14" i="20"/>
  <c r="EA14" i="20"/>
  <c r="EB14" i="20"/>
  <c r="EC14" i="20"/>
  <c r="ED14" i="20"/>
  <c r="EE14" i="20"/>
  <c r="EF14" i="20"/>
  <c r="EG14" i="20"/>
  <c r="EH14" i="20"/>
  <c r="EI14" i="20"/>
  <c r="EJ14" i="20"/>
  <c r="EK14" i="20"/>
  <c r="EL14" i="20"/>
  <c r="EM14" i="20"/>
  <c r="EN14" i="20"/>
  <c r="EO14" i="20"/>
  <c r="EP14" i="20"/>
  <c r="EQ14" i="20"/>
  <c r="ER14" i="20"/>
  <c r="ES14" i="20"/>
  <c r="ET14" i="20"/>
  <c r="EU14" i="20"/>
  <c r="EV14" i="20"/>
  <c r="EW14" i="20"/>
  <c r="EX14" i="20"/>
  <c r="EY14" i="20"/>
  <c r="EZ14" i="20"/>
  <c r="FA14" i="20"/>
  <c r="FB14" i="20"/>
  <c r="FC14" i="20"/>
  <c r="FD14" i="20"/>
  <c r="FE14" i="20"/>
  <c r="FF14" i="20"/>
  <c r="FG14" i="20"/>
  <c r="FH14" i="20"/>
  <c r="FI14" i="20"/>
  <c r="FJ14" i="20"/>
  <c r="FK14" i="20"/>
  <c r="FL14" i="20"/>
  <c r="FM14" i="20"/>
  <c r="FN14" i="20"/>
  <c r="FO14" i="20"/>
  <c r="FP14" i="20"/>
  <c r="FQ14" i="20"/>
  <c r="FR14" i="20"/>
  <c r="FS14" i="20"/>
  <c r="FT14" i="20"/>
  <c r="FU14" i="20"/>
  <c r="FV14" i="20"/>
  <c r="FW14" i="20"/>
  <c r="FX14" i="20"/>
  <c r="FY14" i="20"/>
  <c r="FZ14" i="20"/>
  <c r="GA14" i="20"/>
  <c r="GB14" i="20"/>
  <c r="GC14" i="20"/>
  <c r="GD14" i="20"/>
  <c r="GE14" i="20"/>
  <c r="GF14" i="20"/>
  <c r="GG14" i="20"/>
  <c r="GH14" i="20"/>
  <c r="GI14" i="20"/>
  <c r="GJ14" i="20"/>
  <c r="GK14" i="20"/>
  <c r="GL14" i="20"/>
  <c r="GM14" i="20"/>
  <c r="GN14" i="20"/>
  <c r="GO14" i="20"/>
  <c r="GP14" i="20"/>
  <c r="GQ14" i="20"/>
  <c r="GR14" i="20"/>
  <c r="GS14" i="20"/>
  <c r="GT14" i="20"/>
  <c r="GU14" i="20"/>
  <c r="GV14" i="20"/>
  <c r="GW14" i="20"/>
  <c r="GX14" i="20"/>
  <c r="GY14" i="20"/>
  <c r="GZ14" i="20"/>
  <c r="HA14" i="20"/>
  <c r="HB14" i="20"/>
  <c r="HC14" i="20"/>
  <c r="HD14" i="20"/>
  <c r="HE14" i="20"/>
  <c r="HF14" i="20"/>
  <c r="HG14" i="20"/>
  <c r="HH14" i="20"/>
  <c r="HI14" i="20"/>
  <c r="HJ14" i="20"/>
  <c r="HK14" i="20"/>
  <c r="HL14" i="20"/>
  <c r="HM14" i="20"/>
  <c r="HN14" i="20"/>
  <c r="HO14" i="20"/>
  <c r="HP14" i="20"/>
  <c r="HQ14" i="20"/>
  <c r="HR14" i="20"/>
  <c r="HS14" i="20"/>
  <c r="HT14" i="20"/>
  <c r="HU14" i="20"/>
  <c r="HV14" i="20"/>
  <c r="HW14" i="20"/>
  <c r="HX14" i="20"/>
  <c r="HY14" i="20"/>
  <c r="HZ14" i="20"/>
  <c r="IA14" i="20"/>
  <c r="IB14" i="20"/>
  <c r="IC14" i="20"/>
  <c r="ID14" i="20"/>
  <c r="IE14" i="20"/>
  <c r="IF14" i="20"/>
  <c r="IG14" i="20"/>
  <c r="IH14" i="20"/>
  <c r="II14" i="20"/>
  <c r="IJ14" i="20"/>
  <c r="IK14" i="20"/>
  <c r="IL14" i="20"/>
  <c r="IM14" i="20"/>
  <c r="IN14" i="20"/>
  <c r="IO14" i="20"/>
  <c r="IP14" i="20"/>
  <c r="IQ14" i="20"/>
  <c r="IR14" i="20"/>
  <c r="IS14" i="20"/>
  <c r="IT14" i="20"/>
  <c r="IU14" i="20"/>
  <c r="IV14" i="20"/>
  <c r="A13" i="20"/>
  <c r="B13" i="20"/>
  <c r="C13" i="20"/>
  <c r="D13" i="20"/>
  <c r="E13" i="20"/>
  <c r="F13" i="20"/>
  <c r="G13" i="20"/>
  <c r="H13" i="20"/>
  <c r="I13" i="20"/>
  <c r="K13" i="20"/>
  <c r="L13" i="20"/>
  <c r="M13" i="20"/>
  <c r="N13" i="20"/>
  <c r="O13" i="20"/>
  <c r="P13" i="20"/>
  <c r="Q13" i="20"/>
  <c r="R13" i="20"/>
  <c r="S13" i="20"/>
  <c r="T13" i="20"/>
  <c r="U13" i="20"/>
  <c r="V13" i="20"/>
  <c r="W13" i="20"/>
  <c r="X13" i="20"/>
  <c r="Y13" i="20"/>
  <c r="Z13" i="20"/>
  <c r="AA13" i="20"/>
  <c r="AB13" i="20"/>
  <c r="AC13" i="20"/>
  <c r="AD13" i="20"/>
  <c r="AE13" i="20"/>
  <c r="AF13" i="20"/>
  <c r="AG13" i="20"/>
  <c r="AH13" i="20"/>
  <c r="AI13" i="20"/>
  <c r="AJ13" i="20"/>
  <c r="AK13" i="20"/>
  <c r="AL13" i="20"/>
  <c r="AM13" i="20"/>
  <c r="AN13" i="20"/>
  <c r="AO13" i="20"/>
  <c r="AP13" i="20"/>
  <c r="AQ13" i="20"/>
  <c r="AR13" i="20"/>
  <c r="AS13" i="20"/>
  <c r="AT13" i="20"/>
  <c r="AU13" i="20"/>
  <c r="AV13" i="20"/>
  <c r="AW13" i="20"/>
  <c r="AX13" i="20"/>
  <c r="AY13" i="20"/>
  <c r="AZ13" i="20"/>
  <c r="BA13" i="20"/>
  <c r="BB13" i="20"/>
  <c r="BC13" i="20"/>
  <c r="BD13" i="20"/>
  <c r="BE13" i="20"/>
  <c r="BF13" i="20"/>
  <c r="BG13" i="20"/>
  <c r="BH13" i="20"/>
  <c r="BI13" i="20"/>
  <c r="BJ13" i="20"/>
  <c r="BK13" i="20"/>
  <c r="BL13" i="20"/>
  <c r="BM13" i="20"/>
  <c r="BN13" i="20"/>
  <c r="BO13" i="20"/>
  <c r="BP13" i="20"/>
  <c r="BQ13" i="20"/>
  <c r="BR13" i="20"/>
  <c r="BS13" i="20"/>
  <c r="BT13" i="20"/>
  <c r="BU13" i="20"/>
  <c r="BV13" i="20"/>
  <c r="BW13" i="20"/>
  <c r="BX13" i="20"/>
  <c r="BY13" i="20"/>
  <c r="BZ13" i="20"/>
  <c r="CA13" i="20"/>
  <c r="CB13" i="20"/>
  <c r="CC13" i="20"/>
  <c r="CD13" i="20"/>
  <c r="CE13" i="20"/>
  <c r="CF13" i="20"/>
  <c r="CG13" i="20"/>
  <c r="CH13" i="20"/>
  <c r="CI13" i="20"/>
  <c r="CJ13" i="20"/>
  <c r="CK13" i="20"/>
  <c r="CL13" i="20"/>
  <c r="CM13" i="20"/>
  <c r="CN13" i="20"/>
  <c r="CO13" i="20"/>
  <c r="CP13" i="20"/>
  <c r="CQ13" i="20"/>
  <c r="CR13" i="20"/>
  <c r="CS13" i="20"/>
  <c r="CT13" i="20"/>
  <c r="CU13" i="20"/>
  <c r="CV13" i="20"/>
  <c r="CW13" i="20"/>
  <c r="CX13" i="20"/>
  <c r="CY13" i="20"/>
  <c r="CZ13" i="20"/>
  <c r="DA13" i="20"/>
  <c r="DB13" i="20"/>
  <c r="DC13" i="20"/>
  <c r="DD13" i="20"/>
  <c r="DE13" i="20"/>
  <c r="DF13" i="20"/>
  <c r="DG13" i="20"/>
  <c r="DH13" i="20"/>
  <c r="DI13" i="20"/>
  <c r="DJ13" i="20"/>
  <c r="DK13" i="20"/>
  <c r="DL13" i="20"/>
  <c r="DM13" i="20"/>
  <c r="DN13" i="20"/>
  <c r="DO13" i="20"/>
  <c r="DP13" i="20"/>
  <c r="DQ13" i="20"/>
  <c r="DR13" i="20"/>
  <c r="DS13" i="20"/>
  <c r="DT13" i="20"/>
  <c r="DU13" i="20"/>
  <c r="DV13" i="20"/>
  <c r="DW13" i="20"/>
  <c r="DX13" i="20"/>
  <c r="DY13" i="20"/>
  <c r="DZ13" i="20"/>
  <c r="EA13" i="20"/>
  <c r="EB13" i="20"/>
  <c r="EC13" i="20"/>
  <c r="ED13" i="20"/>
  <c r="EE13" i="20"/>
  <c r="EF13" i="20"/>
  <c r="EG13" i="20"/>
  <c r="EH13" i="20"/>
  <c r="EI13" i="20"/>
  <c r="EJ13" i="20"/>
  <c r="EK13" i="20"/>
  <c r="EL13" i="20"/>
  <c r="EM13" i="20"/>
  <c r="EN13" i="20"/>
  <c r="EO13" i="20"/>
  <c r="EP13" i="20"/>
  <c r="EQ13" i="20"/>
  <c r="ER13" i="20"/>
  <c r="ES13" i="20"/>
  <c r="ET13" i="20"/>
  <c r="EU13" i="20"/>
  <c r="EV13" i="20"/>
  <c r="EW13" i="20"/>
  <c r="EX13" i="20"/>
  <c r="EY13" i="20"/>
  <c r="EZ13" i="20"/>
  <c r="FA13" i="20"/>
  <c r="FB13" i="20"/>
  <c r="FC13" i="20"/>
  <c r="FD13" i="20"/>
  <c r="FJ13" i="20"/>
  <c r="FK13" i="20"/>
  <c r="FL13" i="20"/>
  <c r="FM13" i="20"/>
  <c r="FN13" i="20"/>
  <c r="FO13" i="20"/>
  <c r="FP13" i="20"/>
  <c r="FQ13" i="20"/>
  <c r="FR13" i="20"/>
  <c r="FS13" i="20"/>
  <c r="FT13" i="20"/>
  <c r="FU13" i="20"/>
  <c r="FV13" i="20"/>
  <c r="FW13" i="20"/>
  <c r="FX13" i="20"/>
  <c r="FY13" i="20"/>
  <c r="FZ13" i="20"/>
  <c r="GA13" i="20"/>
  <c r="GB13" i="20"/>
  <c r="GC13" i="20"/>
  <c r="GD13" i="20"/>
  <c r="GE13" i="20"/>
  <c r="GF13" i="20"/>
  <c r="GG13" i="20"/>
  <c r="GH13" i="20"/>
  <c r="GI13" i="20"/>
  <c r="GJ13" i="20"/>
  <c r="GK13" i="20"/>
  <c r="GL13" i="20"/>
  <c r="GM13" i="20"/>
  <c r="GN13" i="20"/>
  <c r="GO13" i="20"/>
  <c r="GP13" i="20"/>
  <c r="GQ13" i="20"/>
  <c r="GR13" i="20"/>
  <c r="GS13" i="20"/>
  <c r="GT13" i="20"/>
  <c r="GU13" i="20"/>
  <c r="GV13" i="20"/>
  <c r="GW13" i="20"/>
  <c r="GX13" i="20"/>
  <c r="GY13" i="20"/>
  <c r="GZ13" i="20"/>
  <c r="HA13" i="20"/>
  <c r="HB13" i="20"/>
  <c r="HC13" i="20"/>
  <c r="HD13" i="20"/>
  <c r="HE13" i="20"/>
  <c r="HF13" i="20"/>
  <c r="HG13" i="20"/>
  <c r="HH13" i="20"/>
  <c r="HI13" i="20"/>
  <c r="HJ13" i="20"/>
  <c r="HK13" i="20"/>
  <c r="HL13" i="20"/>
  <c r="HM13" i="20"/>
  <c r="HN13" i="20"/>
  <c r="HO13" i="20"/>
  <c r="HP13" i="20"/>
  <c r="HQ13" i="20"/>
  <c r="HR13" i="20"/>
  <c r="HS13" i="20"/>
  <c r="HT13" i="20"/>
  <c r="HU13" i="20"/>
  <c r="HV13" i="20"/>
  <c r="HW13" i="20"/>
  <c r="HX13" i="20"/>
  <c r="HY13" i="20"/>
  <c r="HZ13" i="20"/>
  <c r="IA13" i="20"/>
  <c r="IB13" i="20"/>
  <c r="IC13" i="20"/>
  <c r="ID13" i="20"/>
  <c r="IE13" i="20"/>
  <c r="IF13" i="20"/>
  <c r="IG13" i="20"/>
  <c r="IH13" i="20"/>
  <c r="II13" i="20"/>
  <c r="IJ13" i="20"/>
  <c r="IK13" i="20"/>
  <c r="IL13" i="20"/>
  <c r="IM13" i="20"/>
  <c r="IN13" i="20"/>
  <c r="IO13" i="20"/>
  <c r="IP13" i="20"/>
  <c r="IQ13" i="20"/>
  <c r="IR13" i="20"/>
  <c r="IS13" i="20"/>
  <c r="IT13" i="20"/>
  <c r="IU13" i="20"/>
  <c r="IV13" i="20"/>
  <c r="A12" i="20"/>
  <c r="B12" i="20"/>
  <c r="C12" i="20"/>
  <c r="D12" i="20"/>
  <c r="E12" i="20"/>
  <c r="F12" i="20"/>
  <c r="G12" i="20"/>
  <c r="H12" i="20"/>
  <c r="I12" i="20"/>
  <c r="K12" i="20"/>
  <c r="L12" i="20"/>
  <c r="M12" i="20"/>
  <c r="N12" i="20"/>
  <c r="O12" i="20"/>
  <c r="P12" i="20"/>
  <c r="Q12" i="20"/>
  <c r="R12" i="20"/>
  <c r="S12" i="20"/>
  <c r="T12" i="20"/>
  <c r="U12" i="20"/>
  <c r="V12" i="20"/>
  <c r="W12" i="20"/>
  <c r="X12" i="20"/>
  <c r="Y12" i="20"/>
  <c r="Z12" i="20"/>
  <c r="AA12" i="20"/>
  <c r="AB12" i="20"/>
  <c r="AC12" i="20"/>
  <c r="AD12" i="20"/>
  <c r="AE12" i="20"/>
  <c r="AF12" i="20"/>
  <c r="AG12" i="20"/>
  <c r="AH12" i="20"/>
  <c r="AI12" i="20"/>
  <c r="AJ12" i="20"/>
  <c r="AK12" i="20"/>
  <c r="AL12" i="20"/>
  <c r="AM12" i="20"/>
  <c r="AN12" i="20"/>
  <c r="AO12" i="20"/>
  <c r="AP12" i="20"/>
  <c r="AQ12" i="20"/>
  <c r="AR12" i="20"/>
  <c r="AS12" i="20"/>
  <c r="AT12" i="20"/>
  <c r="AU12" i="20"/>
  <c r="AV12" i="20"/>
  <c r="AW12" i="20"/>
  <c r="AX12" i="20"/>
  <c r="AY12" i="20"/>
  <c r="AZ12" i="20"/>
  <c r="BA12" i="20"/>
  <c r="BB12" i="20"/>
  <c r="BC12" i="20"/>
  <c r="BD12" i="20"/>
  <c r="BE12" i="20"/>
  <c r="BF12" i="20"/>
  <c r="BG12" i="20"/>
  <c r="BH12" i="20"/>
  <c r="BI12" i="20"/>
  <c r="BJ12" i="20"/>
  <c r="BK12" i="20"/>
  <c r="BL12" i="20"/>
  <c r="BM12" i="20"/>
  <c r="BN12" i="20"/>
  <c r="BO12" i="20"/>
  <c r="BP12" i="20"/>
  <c r="BQ12" i="20"/>
  <c r="BR12" i="20"/>
  <c r="BS12" i="20"/>
  <c r="BT12" i="20"/>
  <c r="BU12" i="20"/>
  <c r="BV12" i="20"/>
  <c r="BW12" i="20"/>
  <c r="BX12" i="20"/>
  <c r="BY12" i="20"/>
  <c r="BZ12" i="20"/>
  <c r="CA12" i="20"/>
  <c r="CB12" i="20"/>
  <c r="CC12" i="20"/>
  <c r="CD12" i="20"/>
  <c r="CE12" i="20"/>
  <c r="CF12" i="20"/>
  <c r="CG12" i="20"/>
  <c r="CH12" i="20"/>
  <c r="CI12" i="20"/>
  <c r="CJ12" i="20"/>
  <c r="CK12" i="20"/>
  <c r="CL12" i="20"/>
  <c r="CM12" i="20"/>
  <c r="CN12" i="20"/>
  <c r="CO12" i="20"/>
  <c r="CP12" i="20"/>
  <c r="CQ12" i="20"/>
  <c r="CR12" i="20"/>
  <c r="CS12" i="20"/>
  <c r="CT12" i="20"/>
  <c r="CU12" i="20"/>
  <c r="CV12" i="20"/>
  <c r="CW12" i="20"/>
  <c r="CX12" i="20"/>
  <c r="CY12" i="20"/>
  <c r="CZ12" i="20"/>
  <c r="DA12" i="20"/>
  <c r="DB12" i="20"/>
  <c r="DC12" i="20"/>
  <c r="DD12" i="20"/>
  <c r="DE12" i="20"/>
  <c r="DF12" i="20"/>
  <c r="DG12" i="20"/>
  <c r="DH12" i="20"/>
  <c r="DI12" i="20"/>
  <c r="DJ12" i="20"/>
  <c r="DK12" i="20"/>
  <c r="DL12" i="20"/>
  <c r="DM12" i="20"/>
  <c r="DN12" i="20"/>
  <c r="DO12" i="20"/>
  <c r="DP12" i="20"/>
  <c r="DQ12" i="20"/>
  <c r="DR12" i="20"/>
  <c r="DS12" i="20"/>
  <c r="DT12" i="20"/>
  <c r="DU12" i="20"/>
  <c r="DV12" i="20"/>
  <c r="DW12" i="20"/>
  <c r="DX12" i="20"/>
  <c r="DY12" i="20"/>
  <c r="DZ12" i="20"/>
  <c r="EA12" i="20"/>
  <c r="EB12" i="20"/>
  <c r="EC12" i="20"/>
  <c r="ED12" i="20"/>
  <c r="EE12" i="20"/>
  <c r="EF12" i="20"/>
  <c r="EG12" i="20"/>
  <c r="EH12" i="20"/>
  <c r="EI12" i="20"/>
  <c r="EJ12" i="20"/>
  <c r="EK12" i="20"/>
  <c r="EL12" i="20"/>
  <c r="EM12" i="20"/>
  <c r="EN12" i="20"/>
  <c r="EO12" i="20"/>
  <c r="EP12" i="20"/>
  <c r="EQ12" i="20"/>
  <c r="ER12" i="20"/>
  <c r="ES12" i="20"/>
  <c r="ET12" i="20"/>
  <c r="EU12" i="20"/>
  <c r="EV12" i="20"/>
  <c r="EW12" i="20"/>
  <c r="EX12" i="20"/>
  <c r="EY12" i="20"/>
  <c r="EZ12" i="20"/>
  <c r="FA12" i="20"/>
  <c r="FB12" i="20"/>
  <c r="FC12" i="20"/>
  <c r="FD12" i="20"/>
  <c r="FE12" i="20"/>
  <c r="FF12" i="20"/>
  <c r="FG12" i="20"/>
  <c r="FH12" i="20"/>
  <c r="FI12" i="20"/>
  <c r="FJ12" i="20"/>
  <c r="FK12" i="20"/>
  <c r="FL12" i="20"/>
  <c r="FM12" i="20"/>
  <c r="FN12" i="20"/>
  <c r="FO12" i="20"/>
  <c r="FP12" i="20"/>
  <c r="FQ12" i="20"/>
  <c r="FR12" i="20"/>
  <c r="FS12" i="20"/>
  <c r="FT12" i="20"/>
  <c r="FU12" i="20"/>
  <c r="FV12" i="20"/>
  <c r="FW12" i="20"/>
  <c r="FX12" i="20"/>
  <c r="FY12" i="20"/>
  <c r="FZ12" i="20"/>
  <c r="GA12" i="20"/>
  <c r="GB12" i="20"/>
  <c r="GC12" i="20"/>
  <c r="GD12" i="20"/>
  <c r="GE12" i="20"/>
  <c r="GF12" i="20"/>
  <c r="GG12" i="20"/>
  <c r="GH12" i="20"/>
  <c r="GI12" i="20"/>
  <c r="GJ12" i="20"/>
  <c r="GK12" i="20"/>
  <c r="GL12" i="20"/>
  <c r="GM12" i="20"/>
  <c r="GN12" i="20"/>
  <c r="GO12" i="20"/>
  <c r="GP12" i="20"/>
  <c r="GQ12" i="20"/>
  <c r="GR12" i="20"/>
  <c r="GS12" i="20"/>
  <c r="GT12" i="20"/>
  <c r="GU12" i="20"/>
  <c r="GV12" i="20"/>
  <c r="GW12" i="20"/>
  <c r="GX12" i="20"/>
  <c r="GY12" i="20"/>
  <c r="GZ12" i="20"/>
  <c r="HA12" i="20"/>
  <c r="HB12" i="20"/>
  <c r="HC12" i="20"/>
  <c r="HD12" i="20"/>
  <c r="HE12" i="20"/>
  <c r="HF12" i="20"/>
  <c r="HG12" i="20"/>
  <c r="HH12" i="20"/>
  <c r="HI12" i="20"/>
  <c r="HJ12" i="20"/>
  <c r="HK12" i="20"/>
  <c r="HL12" i="20"/>
  <c r="HM12" i="20"/>
  <c r="HN12" i="20"/>
  <c r="HO12" i="20"/>
  <c r="HP12" i="20"/>
  <c r="HQ12" i="20"/>
  <c r="HR12" i="20"/>
  <c r="HS12" i="20"/>
  <c r="HT12" i="20"/>
  <c r="HU12" i="20"/>
  <c r="HV12" i="20"/>
  <c r="HW12" i="20"/>
  <c r="HX12" i="20"/>
  <c r="HY12" i="20"/>
  <c r="HZ12" i="20"/>
  <c r="IA12" i="20"/>
  <c r="IB12" i="20"/>
  <c r="IC12" i="20"/>
  <c r="ID12" i="20"/>
  <c r="IE12" i="20"/>
  <c r="IF12" i="20"/>
  <c r="IG12" i="20"/>
  <c r="IH12" i="20"/>
  <c r="II12" i="20"/>
  <c r="IJ12" i="20"/>
  <c r="IK12" i="20"/>
  <c r="IL12" i="20"/>
  <c r="IM12" i="20"/>
  <c r="IN12" i="20"/>
  <c r="IO12" i="20"/>
  <c r="IP12" i="20"/>
  <c r="IQ12" i="20"/>
  <c r="IR12" i="20"/>
  <c r="IS12" i="20"/>
  <c r="IT12" i="20"/>
  <c r="IU12" i="20"/>
  <c r="IV12" i="20"/>
  <c r="A11" i="20"/>
  <c r="B11" i="20"/>
  <c r="C11" i="20"/>
  <c r="D11" i="20"/>
  <c r="E11" i="20"/>
  <c r="F11" i="20"/>
  <c r="G11" i="20"/>
  <c r="H11" i="20"/>
  <c r="I11" i="20"/>
  <c r="K11" i="20"/>
  <c r="L11" i="20"/>
  <c r="M11" i="20"/>
  <c r="N11" i="20"/>
  <c r="O11" i="20"/>
  <c r="P11" i="20"/>
  <c r="Q11" i="20"/>
  <c r="R11" i="20"/>
  <c r="S11" i="20"/>
  <c r="T11" i="20"/>
  <c r="U11" i="20"/>
  <c r="V11" i="20"/>
  <c r="W11" i="20"/>
  <c r="X11" i="20"/>
  <c r="Y11" i="20"/>
  <c r="Z11" i="20"/>
  <c r="AA11" i="20"/>
  <c r="AB11" i="20"/>
  <c r="AC11" i="20"/>
  <c r="AD11" i="20"/>
  <c r="AE11" i="20"/>
  <c r="AF11" i="20"/>
  <c r="AG11" i="20"/>
  <c r="AH11" i="20"/>
  <c r="AI11" i="20"/>
  <c r="AJ11" i="20"/>
  <c r="AK11" i="20"/>
  <c r="AL11" i="20"/>
  <c r="AM11" i="20"/>
  <c r="AN11" i="20"/>
  <c r="AO11" i="20"/>
  <c r="AP11" i="20"/>
  <c r="AQ11" i="20"/>
  <c r="AR11" i="20"/>
  <c r="AS11" i="20"/>
  <c r="AT11" i="20"/>
  <c r="AU11" i="20"/>
  <c r="AV11" i="20"/>
  <c r="AW11" i="20"/>
  <c r="AX11" i="20"/>
  <c r="AY11" i="20"/>
  <c r="AZ11" i="20"/>
  <c r="BA11" i="20"/>
  <c r="BB11" i="20"/>
  <c r="BC11" i="20"/>
  <c r="BD11" i="20"/>
  <c r="BE11" i="20"/>
  <c r="BF11" i="20"/>
  <c r="BG11" i="20"/>
  <c r="BH11" i="20"/>
  <c r="BI11" i="20"/>
  <c r="BJ11" i="20"/>
  <c r="BK11" i="20"/>
  <c r="BL11" i="20"/>
  <c r="BM11" i="20"/>
  <c r="BN11" i="20"/>
  <c r="BO11" i="20"/>
  <c r="BP11" i="20"/>
  <c r="BQ11" i="20"/>
  <c r="BR11" i="20"/>
  <c r="BS11" i="20"/>
  <c r="BT11" i="20"/>
  <c r="BU11" i="20"/>
  <c r="BV11" i="20"/>
  <c r="BW11" i="20"/>
  <c r="BX11" i="20"/>
  <c r="BY11" i="20"/>
  <c r="BZ11" i="20"/>
  <c r="CA11" i="20"/>
  <c r="CB11" i="20"/>
  <c r="CC11" i="20"/>
  <c r="CD11" i="20"/>
  <c r="CE11" i="20"/>
  <c r="CF11" i="20"/>
  <c r="CG11" i="20"/>
  <c r="CH11" i="20"/>
  <c r="CI11" i="20"/>
  <c r="CJ11" i="20"/>
  <c r="CK11" i="20"/>
  <c r="CL11" i="20"/>
  <c r="CM11" i="20"/>
  <c r="CN11" i="20"/>
  <c r="CO11" i="20"/>
  <c r="CP11" i="20"/>
  <c r="CQ11" i="20"/>
  <c r="CR11" i="20"/>
  <c r="CS11" i="20"/>
  <c r="CT11" i="20"/>
  <c r="CU11" i="20"/>
  <c r="CV11" i="20"/>
  <c r="CW11" i="20"/>
  <c r="CX11" i="20"/>
  <c r="CY11" i="20"/>
  <c r="CZ11" i="20"/>
  <c r="DA11" i="20"/>
  <c r="DB11" i="20"/>
  <c r="DC11" i="20"/>
  <c r="DD11" i="20"/>
  <c r="DE11" i="20"/>
  <c r="DF11" i="20"/>
  <c r="DG11" i="20"/>
  <c r="DH11" i="20"/>
  <c r="DI11" i="20"/>
  <c r="DJ11" i="20"/>
  <c r="DK11" i="20"/>
  <c r="DL11" i="20"/>
  <c r="DM11" i="20"/>
  <c r="DN11" i="20"/>
  <c r="DO11" i="20"/>
  <c r="DP11" i="20"/>
  <c r="DQ11" i="20"/>
  <c r="DR11" i="20"/>
  <c r="DS11" i="20"/>
  <c r="DT11" i="20"/>
  <c r="DU11" i="20"/>
  <c r="DV11" i="20"/>
  <c r="DW11" i="20"/>
  <c r="DX11" i="20"/>
  <c r="DY11" i="20"/>
  <c r="DZ11" i="20"/>
  <c r="EA11" i="20"/>
  <c r="EB11" i="20"/>
  <c r="EC11" i="20"/>
  <c r="ED11" i="20"/>
  <c r="EE11" i="20"/>
  <c r="EF11" i="20"/>
  <c r="EG11" i="20"/>
  <c r="EH11" i="20"/>
  <c r="EI11" i="20"/>
  <c r="EJ11" i="20"/>
  <c r="EK11" i="20"/>
  <c r="EL11" i="20"/>
  <c r="EM11" i="20"/>
  <c r="EN11" i="20"/>
  <c r="EO11" i="20"/>
  <c r="EP11" i="20"/>
  <c r="EQ11" i="20"/>
  <c r="ER11" i="20"/>
  <c r="ES11" i="20"/>
  <c r="ET11" i="20"/>
  <c r="EU11" i="20"/>
  <c r="EV11" i="20"/>
  <c r="EW11" i="20"/>
  <c r="EX11" i="20"/>
  <c r="EY11" i="20"/>
  <c r="EZ11" i="20"/>
  <c r="FA11" i="20"/>
  <c r="FB11" i="20"/>
  <c r="FC11" i="20"/>
  <c r="FD11" i="20"/>
  <c r="FE11" i="20"/>
  <c r="FF11" i="20"/>
  <c r="FG11" i="20"/>
  <c r="FH11" i="20"/>
  <c r="FI11" i="20"/>
  <c r="FJ11" i="20"/>
  <c r="FK11" i="20"/>
  <c r="FL11" i="20"/>
  <c r="FM11" i="20"/>
  <c r="FN11" i="20"/>
  <c r="FO11" i="20"/>
  <c r="FP11" i="20"/>
  <c r="FQ11" i="20"/>
  <c r="FR11" i="20"/>
  <c r="FS11" i="20"/>
  <c r="FT11" i="20"/>
  <c r="FU11" i="20"/>
  <c r="FV11" i="20"/>
  <c r="FW11" i="20"/>
  <c r="FX11" i="20"/>
  <c r="FY11" i="20"/>
  <c r="FZ11" i="20"/>
  <c r="GA11" i="20"/>
  <c r="GB11" i="20"/>
  <c r="GC11" i="20"/>
  <c r="GD11" i="20"/>
  <c r="GE11" i="20"/>
  <c r="GF11" i="20"/>
  <c r="GG11" i="20"/>
  <c r="GH11" i="20"/>
  <c r="GI11" i="20"/>
  <c r="GJ11" i="20"/>
  <c r="GK11" i="20"/>
  <c r="GL11" i="20"/>
  <c r="GM11" i="20"/>
  <c r="GN11" i="20"/>
  <c r="GO11" i="20"/>
  <c r="GP11" i="20"/>
  <c r="GQ11" i="20"/>
  <c r="GR11" i="20"/>
  <c r="GS11" i="20"/>
  <c r="GT11" i="20"/>
  <c r="GU11" i="20"/>
  <c r="GV11" i="20"/>
  <c r="GW11" i="20"/>
  <c r="GX11" i="20"/>
  <c r="GY11" i="20"/>
  <c r="GZ11" i="20"/>
  <c r="HA11" i="20"/>
  <c r="HB11" i="20"/>
  <c r="HC11" i="20"/>
  <c r="HD11" i="20"/>
  <c r="HE11" i="20"/>
  <c r="HF11" i="20"/>
  <c r="HG11" i="20"/>
  <c r="HH11" i="20"/>
  <c r="HI11" i="20"/>
  <c r="HJ11" i="20"/>
  <c r="HK11" i="20"/>
  <c r="HL11" i="20"/>
  <c r="HM11" i="20"/>
  <c r="HN11" i="20"/>
  <c r="HO11" i="20"/>
  <c r="HP11" i="20"/>
  <c r="HQ11" i="20"/>
  <c r="HR11" i="20"/>
  <c r="HS11" i="20"/>
  <c r="HT11" i="20"/>
  <c r="HU11" i="20"/>
  <c r="HV11" i="20"/>
  <c r="HW11" i="20"/>
  <c r="HX11" i="20"/>
  <c r="HY11" i="20"/>
  <c r="HZ11" i="20"/>
  <c r="IA11" i="20"/>
  <c r="IB11" i="20"/>
  <c r="IC11" i="20"/>
  <c r="ID11" i="20"/>
  <c r="IE11" i="20"/>
  <c r="IF11" i="20"/>
  <c r="IG11" i="20"/>
  <c r="IH11" i="20"/>
  <c r="II11" i="20"/>
  <c r="IJ11" i="20"/>
  <c r="IK11" i="20"/>
  <c r="IL11" i="20"/>
  <c r="IM11" i="20"/>
  <c r="IN11" i="20"/>
  <c r="IO11" i="20"/>
  <c r="IP11" i="20"/>
  <c r="IQ11" i="20"/>
  <c r="IR11" i="20"/>
  <c r="IS11" i="20"/>
  <c r="IT11" i="20"/>
  <c r="IU11" i="20"/>
  <c r="IV11" i="20"/>
  <c r="A10" i="20"/>
  <c r="B10" i="20"/>
  <c r="C10" i="20"/>
  <c r="D10" i="20"/>
  <c r="E10" i="20"/>
  <c r="F10" i="20"/>
  <c r="G10" i="20"/>
  <c r="H10" i="20"/>
  <c r="I10" i="20"/>
  <c r="K10" i="20"/>
  <c r="L10" i="20"/>
  <c r="M10" i="20"/>
  <c r="N10" i="20"/>
  <c r="O10" i="20"/>
  <c r="P10" i="20"/>
  <c r="Q10" i="20"/>
  <c r="R10" i="20"/>
  <c r="S10" i="20"/>
  <c r="T10" i="20"/>
  <c r="U10" i="20"/>
  <c r="V10" i="20"/>
  <c r="W10" i="20"/>
  <c r="X10" i="20"/>
  <c r="Y10" i="20"/>
  <c r="Z10" i="20"/>
  <c r="AA10" i="20"/>
  <c r="AB10" i="20"/>
  <c r="AC10" i="20"/>
  <c r="AD10" i="20"/>
  <c r="AE10" i="20"/>
  <c r="AF10" i="20"/>
  <c r="AG10" i="20"/>
  <c r="AH10" i="20"/>
  <c r="AI10" i="20"/>
  <c r="AJ10" i="20"/>
  <c r="AK10" i="20"/>
  <c r="AL10" i="20"/>
  <c r="AM10" i="20"/>
  <c r="AN10" i="20"/>
  <c r="AO10" i="20"/>
  <c r="AP10" i="20"/>
  <c r="AQ10" i="20"/>
  <c r="AR10" i="20"/>
  <c r="AS10" i="20"/>
  <c r="AT10" i="20"/>
  <c r="AU10" i="20"/>
  <c r="AV10" i="20"/>
  <c r="AW10" i="20"/>
  <c r="AX10" i="20"/>
  <c r="AY10" i="20"/>
  <c r="AZ10" i="20"/>
  <c r="BA10" i="20"/>
  <c r="BB10" i="20"/>
  <c r="BC10" i="20"/>
  <c r="BD10" i="20"/>
  <c r="BE10" i="20"/>
  <c r="BF10" i="20"/>
  <c r="BG10" i="20"/>
  <c r="BH10" i="20"/>
  <c r="BI10" i="20"/>
  <c r="BJ10" i="20"/>
  <c r="BK10" i="20"/>
  <c r="BL10" i="20"/>
  <c r="BM10" i="20"/>
  <c r="BN10" i="20"/>
  <c r="BO10" i="20"/>
  <c r="BP10" i="20"/>
  <c r="BQ10" i="20"/>
  <c r="BR10" i="20"/>
  <c r="BS10" i="20"/>
  <c r="BT10" i="20"/>
  <c r="BU10" i="20"/>
  <c r="BV10" i="20"/>
  <c r="BW10" i="20"/>
  <c r="BX10" i="20"/>
  <c r="BY10" i="20"/>
  <c r="BZ10" i="20"/>
  <c r="CA10" i="20"/>
  <c r="CB10" i="20"/>
  <c r="CC10" i="20"/>
  <c r="CD10" i="20"/>
  <c r="CE10" i="20"/>
  <c r="CF10" i="20"/>
  <c r="CG10" i="20"/>
  <c r="CH10" i="20"/>
  <c r="CI10" i="20"/>
  <c r="CJ10" i="20"/>
  <c r="CK10" i="20"/>
  <c r="CL10" i="20"/>
  <c r="CM10" i="20"/>
  <c r="CN10" i="20"/>
  <c r="CO10" i="20"/>
  <c r="CP10" i="20"/>
  <c r="CQ10" i="20"/>
  <c r="CR10" i="20"/>
  <c r="CS10" i="20"/>
  <c r="CT10" i="20"/>
  <c r="CU10" i="20"/>
  <c r="CV10" i="20"/>
  <c r="CW10" i="20"/>
  <c r="CX10" i="20"/>
  <c r="CY10" i="20"/>
  <c r="CZ10" i="20"/>
  <c r="DA10" i="20"/>
  <c r="DB10" i="20"/>
  <c r="DC10" i="20"/>
  <c r="DD10" i="20"/>
  <c r="DE10" i="20"/>
  <c r="DF10" i="20"/>
  <c r="DG10" i="20"/>
  <c r="DH10" i="20"/>
  <c r="DI10" i="20"/>
  <c r="DJ10" i="20"/>
  <c r="DK10" i="20"/>
  <c r="DL10" i="20"/>
  <c r="DM10" i="20"/>
  <c r="DN10" i="20"/>
  <c r="DO10" i="20"/>
  <c r="DP10" i="20"/>
  <c r="DQ10" i="20"/>
  <c r="DR10" i="20"/>
  <c r="DS10" i="20"/>
  <c r="DT10" i="20"/>
  <c r="DU10" i="20"/>
  <c r="DV10" i="20"/>
  <c r="DW10" i="20"/>
  <c r="DX10" i="20"/>
  <c r="DY10" i="20"/>
  <c r="DZ10" i="20"/>
  <c r="EA10" i="20"/>
  <c r="EB10" i="20"/>
  <c r="EC10" i="20"/>
  <c r="ED10" i="20"/>
  <c r="EE10" i="20"/>
  <c r="EF10" i="20"/>
  <c r="EG10" i="20"/>
  <c r="EH10" i="20"/>
  <c r="EI10" i="20"/>
  <c r="EJ10" i="20"/>
  <c r="EK10" i="20"/>
  <c r="EL10" i="20"/>
  <c r="EM10" i="20"/>
  <c r="EN10" i="20"/>
  <c r="EO10" i="20"/>
  <c r="EP10" i="20"/>
  <c r="EQ10" i="20"/>
  <c r="ER10" i="20"/>
  <c r="ES10" i="20"/>
  <c r="ET10" i="20"/>
  <c r="EU10" i="20"/>
  <c r="EV10" i="20"/>
  <c r="EW10" i="20"/>
  <c r="EX10" i="20"/>
  <c r="EY10" i="20"/>
  <c r="EZ10" i="20"/>
  <c r="FA10" i="20"/>
  <c r="FB10" i="20"/>
  <c r="FC10" i="20"/>
  <c r="FD10" i="20"/>
  <c r="FE10" i="20"/>
  <c r="FF10" i="20"/>
  <c r="FG10" i="20"/>
  <c r="FH10" i="20"/>
  <c r="FI10" i="20"/>
  <c r="FJ10" i="20"/>
  <c r="FK10" i="20"/>
  <c r="FL10" i="20"/>
  <c r="FM10" i="20"/>
  <c r="FN10" i="20"/>
  <c r="FO10" i="20"/>
  <c r="FP10" i="20"/>
  <c r="FQ10" i="20"/>
  <c r="FR10" i="20"/>
  <c r="FS10" i="20"/>
  <c r="FT10" i="20"/>
  <c r="FU10" i="20"/>
  <c r="FV10" i="20"/>
  <c r="FW10" i="20"/>
  <c r="FX10" i="20"/>
  <c r="FY10" i="20"/>
  <c r="FZ10" i="20"/>
  <c r="GA10" i="20"/>
  <c r="GB10" i="20"/>
  <c r="GC10" i="20"/>
  <c r="GD10" i="20"/>
  <c r="GE10" i="20"/>
  <c r="GF10" i="20"/>
  <c r="GG10" i="20"/>
  <c r="GH10" i="20"/>
  <c r="GI10" i="20"/>
  <c r="GJ10" i="20"/>
  <c r="GK10" i="20"/>
  <c r="GL10" i="20"/>
  <c r="GM10" i="20"/>
  <c r="GN10" i="20"/>
  <c r="GO10" i="20"/>
  <c r="GP10" i="20"/>
  <c r="GQ10" i="20"/>
  <c r="GR10" i="20"/>
  <c r="GS10" i="20"/>
  <c r="GT10" i="20"/>
  <c r="GU10" i="20"/>
  <c r="GV10" i="20"/>
  <c r="GW10" i="20"/>
  <c r="GX10" i="20"/>
  <c r="GY10" i="20"/>
  <c r="GZ10" i="20"/>
  <c r="HA10" i="20"/>
  <c r="HB10" i="20"/>
  <c r="HC10" i="20"/>
  <c r="HD10" i="20"/>
  <c r="HE10" i="20"/>
  <c r="HF10" i="20"/>
  <c r="HG10" i="20"/>
  <c r="HH10" i="20"/>
  <c r="HI10" i="20"/>
  <c r="HJ10" i="20"/>
  <c r="HK10" i="20"/>
  <c r="HL10" i="20"/>
  <c r="HM10" i="20"/>
  <c r="HN10" i="20"/>
  <c r="HO10" i="20"/>
  <c r="HP10" i="20"/>
  <c r="HQ10" i="20"/>
  <c r="HR10" i="20"/>
  <c r="HS10" i="20"/>
  <c r="HT10" i="20"/>
  <c r="HU10" i="20"/>
  <c r="HV10" i="20"/>
  <c r="HW10" i="20"/>
  <c r="HX10" i="20"/>
  <c r="HY10" i="20"/>
  <c r="HZ10" i="20"/>
  <c r="IA10" i="20"/>
  <c r="IB10" i="20"/>
  <c r="IC10" i="20"/>
  <c r="ID10" i="20"/>
  <c r="IE10" i="20"/>
  <c r="IF10" i="20"/>
  <c r="IG10" i="20"/>
  <c r="IH10" i="20"/>
  <c r="II10" i="20"/>
  <c r="IJ10" i="20"/>
  <c r="IK10" i="20"/>
  <c r="IL10" i="20"/>
  <c r="IM10" i="20"/>
  <c r="IN10" i="20"/>
  <c r="IO10" i="20"/>
  <c r="IP10" i="20"/>
  <c r="IQ10" i="20"/>
  <c r="IR10" i="20"/>
  <c r="IS10" i="20"/>
  <c r="IT10" i="20"/>
  <c r="IU10" i="20"/>
  <c r="IV10"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AH9" i="20"/>
  <c r="AI9" i="20"/>
  <c r="AJ9" i="20"/>
  <c r="AK9" i="20"/>
  <c r="AL9" i="20"/>
  <c r="AM9" i="20"/>
  <c r="AN9" i="20"/>
  <c r="AO9" i="20"/>
  <c r="AP9" i="20"/>
  <c r="AQ9" i="20"/>
  <c r="AR9" i="20"/>
  <c r="AS9" i="20"/>
  <c r="AT9" i="20"/>
  <c r="AU9" i="20"/>
  <c r="AV9" i="20"/>
  <c r="AW9" i="20"/>
  <c r="AX9" i="20"/>
  <c r="AY9" i="20"/>
  <c r="AZ9" i="20"/>
  <c r="BA9" i="20"/>
  <c r="BB9" i="20"/>
  <c r="BC9" i="20"/>
  <c r="BD9" i="20"/>
  <c r="BE9" i="20"/>
  <c r="BF9" i="20"/>
  <c r="BG9" i="20"/>
  <c r="BH9" i="20"/>
  <c r="BI9" i="20"/>
  <c r="BJ9" i="20"/>
  <c r="BK9" i="20"/>
  <c r="BL9" i="20"/>
  <c r="BM9" i="20"/>
  <c r="BN9" i="20"/>
  <c r="BO9" i="20"/>
  <c r="BP9" i="20"/>
  <c r="BQ9" i="20"/>
  <c r="BR9" i="20"/>
  <c r="BS9" i="20"/>
  <c r="BT9" i="20"/>
  <c r="BU9" i="20"/>
  <c r="BV9" i="20"/>
  <c r="BW9" i="20"/>
  <c r="BX9" i="20"/>
  <c r="BY9" i="20"/>
  <c r="BZ9" i="20"/>
  <c r="CA9" i="20"/>
  <c r="CB9" i="20"/>
  <c r="CC9" i="20"/>
  <c r="CD9" i="20"/>
  <c r="CE9" i="20"/>
  <c r="CF9" i="20"/>
  <c r="CG9" i="20"/>
  <c r="CH9" i="20"/>
  <c r="CI9" i="20"/>
  <c r="CJ9" i="20"/>
  <c r="CK9" i="20"/>
  <c r="CL9" i="20"/>
  <c r="CM9" i="20"/>
  <c r="CN9" i="20"/>
  <c r="CO9" i="20"/>
  <c r="CP9" i="20"/>
  <c r="CQ9" i="20"/>
  <c r="CR9" i="20"/>
  <c r="CS9" i="20"/>
  <c r="CT9" i="20"/>
  <c r="CU9" i="20"/>
  <c r="CV9" i="20"/>
  <c r="CW9" i="20"/>
  <c r="CX9" i="20"/>
  <c r="CY9" i="20"/>
  <c r="CZ9" i="20"/>
  <c r="DA9" i="20"/>
  <c r="DB9" i="20"/>
  <c r="DC9" i="20"/>
  <c r="DD9" i="20"/>
  <c r="DE9" i="20"/>
  <c r="DF9" i="20"/>
  <c r="DG9" i="20"/>
  <c r="DH9" i="20"/>
  <c r="DI9" i="20"/>
  <c r="DJ9" i="20"/>
  <c r="DK9" i="20"/>
  <c r="DL9" i="20"/>
  <c r="DM9" i="20"/>
  <c r="DN9" i="20"/>
  <c r="DO9" i="20"/>
  <c r="DP9" i="20"/>
  <c r="DQ9" i="20"/>
  <c r="DR9" i="20"/>
  <c r="DS9" i="20"/>
  <c r="DT9" i="20"/>
  <c r="DU9" i="20"/>
  <c r="DV9" i="20"/>
  <c r="DW9" i="20"/>
  <c r="DX9" i="20"/>
  <c r="DY9" i="20"/>
  <c r="DZ9" i="20"/>
  <c r="EA9" i="20"/>
  <c r="EB9" i="20"/>
  <c r="EC9" i="20"/>
  <c r="ED9" i="20"/>
  <c r="EE9" i="20"/>
  <c r="EF9" i="20"/>
  <c r="EG9" i="20"/>
  <c r="EH9" i="20"/>
  <c r="EI9" i="20"/>
  <c r="EJ9" i="20"/>
  <c r="EK9" i="20"/>
  <c r="EL9" i="20"/>
  <c r="EM9" i="20"/>
  <c r="EN9" i="20"/>
  <c r="EO9" i="20"/>
  <c r="EP9" i="20"/>
  <c r="EQ9" i="20"/>
  <c r="ER9" i="20"/>
  <c r="ES9" i="20"/>
  <c r="ET9" i="20"/>
  <c r="EU9" i="20"/>
  <c r="EV9" i="20"/>
  <c r="EW9" i="20"/>
  <c r="EX9" i="20"/>
  <c r="EY9" i="20"/>
  <c r="EZ9" i="20"/>
  <c r="FA9" i="20"/>
  <c r="FB9" i="20"/>
  <c r="FC9" i="20"/>
  <c r="FD9" i="20"/>
  <c r="FE9" i="20"/>
  <c r="FF9" i="20"/>
  <c r="FG9" i="20"/>
  <c r="FH9" i="20"/>
  <c r="FI9" i="20"/>
  <c r="FJ9" i="20"/>
  <c r="FK9" i="20"/>
  <c r="FL9" i="20"/>
  <c r="FM9" i="20"/>
  <c r="FN9" i="20"/>
  <c r="FO9" i="20"/>
  <c r="FP9" i="20"/>
  <c r="FQ9" i="20"/>
  <c r="FR9" i="20"/>
  <c r="FS9" i="20"/>
  <c r="FT9" i="20"/>
  <c r="FU9" i="20"/>
  <c r="FV9" i="20"/>
  <c r="FW9" i="20"/>
  <c r="FX9" i="20"/>
  <c r="FY9" i="20"/>
  <c r="FZ9" i="20"/>
  <c r="GA9" i="20"/>
  <c r="GB9" i="20"/>
  <c r="GC9" i="20"/>
  <c r="GD9" i="20"/>
  <c r="GE9" i="20"/>
  <c r="GF9" i="20"/>
  <c r="GG9" i="20"/>
  <c r="GH9" i="20"/>
  <c r="GI9" i="20"/>
  <c r="GJ9" i="20"/>
  <c r="GK9" i="20"/>
  <c r="GL9" i="20"/>
  <c r="GM9" i="20"/>
  <c r="GN9" i="20"/>
  <c r="GO9" i="20"/>
  <c r="GP9" i="20"/>
  <c r="GQ9" i="20"/>
  <c r="GR9" i="20"/>
  <c r="GS9" i="20"/>
  <c r="GT9" i="20"/>
  <c r="GU9" i="20"/>
  <c r="GV9" i="20"/>
  <c r="GW9" i="20"/>
  <c r="GX9" i="20"/>
  <c r="GY9" i="20"/>
  <c r="GZ9" i="20"/>
  <c r="HA9" i="20"/>
  <c r="HB9" i="20"/>
  <c r="HC9" i="20"/>
  <c r="HD9" i="20"/>
  <c r="HE9" i="20"/>
  <c r="HF9" i="20"/>
  <c r="HG9" i="20"/>
  <c r="HH9" i="20"/>
  <c r="HI9" i="20"/>
  <c r="HJ9" i="20"/>
  <c r="HK9" i="20"/>
  <c r="HL9" i="20"/>
  <c r="HM9" i="20"/>
  <c r="HN9" i="20"/>
  <c r="HO9" i="20"/>
  <c r="HP9" i="20"/>
  <c r="HQ9" i="20"/>
  <c r="HR9" i="20"/>
  <c r="HS9" i="20"/>
  <c r="HT9" i="20"/>
  <c r="HU9" i="20"/>
  <c r="HV9" i="20"/>
  <c r="HW9" i="20"/>
  <c r="HX9" i="20"/>
  <c r="HY9" i="20"/>
  <c r="HZ9" i="20"/>
  <c r="IA9" i="20"/>
  <c r="IB9" i="20"/>
  <c r="IC9" i="20"/>
  <c r="ID9" i="20"/>
  <c r="IE9" i="20"/>
  <c r="IF9" i="20"/>
  <c r="IG9" i="20"/>
  <c r="IH9" i="20"/>
  <c r="II9" i="20"/>
  <c r="IJ9" i="20"/>
  <c r="IK9" i="20"/>
  <c r="IL9" i="20"/>
  <c r="IM9" i="20"/>
  <c r="IN9" i="20"/>
  <c r="IO9" i="20"/>
  <c r="IP9" i="20"/>
  <c r="IQ9" i="20"/>
  <c r="IR9" i="20"/>
  <c r="IS9" i="20"/>
  <c r="IT9" i="20"/>
  <c r="IU9" i="20"/>
  <c r="IV9" i="20"/>
  <c r="A8" i="20"/>
  <c r="B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H8" i="20"/>
  <c r="AI8" i="20"/>
  <c r="AJ8" i="20"/>
  <c r="AK8" i="20"/>
  <c r="AL8" i="20"/>
  <c r="AM8" i="20"/>
  <c r="AN8" i="20"/>
  <c r="AO8" i="20"/>
  <c r="AP8" i="20"/>
  <c r="AQ8" i="20"/>
  <c r="AR8" i="20"/>
  <c r="AS8" i="20"/>
  <c r="AT8" i="20"/>
  <c r="AU8" i="20"/>
  <c r="AV8" i="20"/>
  <c r="AW8" i="20"/>
  <c r="AX8" i="20"/>
  <c r="AY8" i="20"/>
  <c r="AZ8" i="20"/>
  <c r="BA8" i="20"/>
  <c r="BB8" i="20"/>
  <c r="BC8" i="20"/>
  <c r="BD8" i="20"/>
  <c r="BE8" i="20"/>
  <c r="BF8" i="20"/>
  <c r="BG8" i="20"/>
  <c r="BH8" i="20"/>
  <c r="BI8" i="20"/>
  <c r="BJ8" i="20"/>
  <c r="BK8" i="20"/>
  <c r="BL8" i="20"/>
  <c r="BM8" i="20"/>
  <c r="BN8" i="20"/>
  <c r="BO8" i="20"/>
  <c r="BP8" i="20"/>
  <c r="BQ8" i="20"/>
  <c r="BR8" i="20"/>
  <c r="BS8" i="20"/>
  <c r="BT8" i="20"/>
  <c r="BU8" i="20"/>
  <c r="BV8" i="20"/>
  <c r="BW8" i="20"/>
  <c r="BX8" i="20"/>
  <c r="BY8" i="20"/>
  <c r="BZ8" i="20"/>
  <c r="CA8" i="20"/>
  <c r="CB8" i="20"/>
  <c r="CC8" i="20"/>
  <c r="CD8" i="20"/>
  <c r="CE8" i="20"/>
  <c r="CF8" i="20"/>
  <c r="CG8" i="20"/>
  <c r="CH8" i="20"/>
  <c r="CI8" i="20"/>
  <c r="CJ8" i="20"/>
  <c r="CK8" i="20"/>
  <c r="CL8" i="20"/>
  <c r="CM8" i="20"/>
  <c r="CN8" i="20"/>
  <c r="CO8" i="20"/>
  <c r="CP8" i="20"/>
  <c r="CQ8" i="20"/>
  <c r="CR8" i="20"/>
  <c r="CS8" i="20"/>
  <c r="CT8" i="20"/>
  <c r="CU8" i="20"/>
  <c r="CV8" i="20"/>
  <c r="CW8" i="20"/>
  <c r="CX8" i="20"/>
  <c r="CY8" i="20"/>
  <c r="CZ8" i="20"/>
  <c r="DA8" i="20"/>
  <c r="DB8" i="20"/>
  <c r="DC8" i="20"/>
  <c r="DD8" i="20"/>
  <c r="DE8" i="20"/>
  <c r="DF8" i="20"/>
  <c r="DG8" i="20"/>
  <c r="DH8" i="20"/>
  <c r="DI8" i="20"/>
  <c r="DJ8" i="20"/>
  <c r="DK8" i="20"/>
  <c r="DL8" i="20"/>
  <c r="DM8" i="20"/>
  <c r="DN8" i="20"/>
  <c r="DO8" i="20"/>
  <c r="DP8" i="20"/>
  <c r="DQ8" i="20"/>
  <c r="DR8" i="20"/>
  <c r="DS8" i="20"/>
  <c r="DT8" i="20"/>
  <c r="DU8" i="20"/>
  <c r="DV8" i="20"/>
  <c r="DW8" i="20"/>
  <c r="DX8" i="20"/>
  <c r="DY8" i="20"/>
  <c r="DZ8" i="20"/>
  <c r="EA8" i="20"/>
  <c r="EB8" i="20"/>
  <c r="EC8" i="20"/>
  <c r="ED8" i="20"/>
  <c r="EE8" i="20"/>
  <c r="EF8" i="20"/>
  <c r="EG8" i="20"/>
  <c r="EH8" i="20"/>
  <c r="EI8" i="20"/>
  <c r="EJ8" i="20"/>
  <c r="EK8" i="20"/>
  <c r="EL8" i="20"/>
  <c r="EM8" i="20"/>
  <c r="EN8" i="20"/>
  <c r="EO8" i="20"/>
  <c r="EP8" i="20"/>
  <c r="EQ8" i="20"/>
  <c r="ER8" i="20"/>
  <c r="ES8" i="20"/>
  <c r="ET8" i="20"/>
  <c r="EU8" i="20"/>
  <c r="EV8" i="20"/>
  <c r="EW8" i="20"/>
  <c r="EX8" i="20"/>
  <c r="EY8" i="20"/>
  <c r="EZ8" i="20"/>
  <c r="FA8" i="20"/>
  <c r="FB8" i="20"/>
  <c r="FC8" i="20"/>
  <c r="FD8" i="20"/>
  <c r="FE8" i="20"/>
  <c r="FF8" i="20"/>
  <c r="FG8" i="20"/>
  <c r="FH8" i="20"/>
  <c r="FI8" i="20"/>
  <c r="FJ8" i="20"/>
  <c r="FK8" i="20"/>
  <c r="FL8" i="20"/>
  <c r="FM8" i="20"/>
  <c r="FN8" i="20"/>
  <c r="FO8" i="20"/>
  <c r="FP8" i="20"/>
  <c r="FQ8" i="20"/>
  <c r="FR8" i="20"/>
  <c r="FS8" i="20"/>
  <c r="FT8" i="20"/>
  <c r="FU8" i="20"/>
  <c r="FV8" i="20"/>
  <c r="FW8" i="20"/>
  <c r="FX8" i="20"/>
  <c r="FY8" i="20"/>
  <c r="FZ8" i="20"/>
  <c r="GA8" i="20"/>
  <c r="GB8" i="20"/>
  <c r="GC8" i="20"/>
  <c r="GD8" i="20"/>
  <c r="GE8" i="20"/>
  <c r="GF8" i="20"/>
  <c r="GG8" i="20"/>
  <c r="GH8" i="20"/>
  <c r="GI8" i="20"/>
  <c r="GJ8" i="20"/>
  <c r="GK8" i="20"/>
  <c r="GL8" i="20"/>
  <c r="GM8" i="20"/>
  <c r="GN8" i="20"/>
  <c r="GO8" i="20"/>
  <c r="GP8" i="20"/>
  <c r="GQ8" i="20"/>
  <c r="GR8" i="20"/>
  <c r="GS8" i="20"/>
  <c r="GT8" i="20"/>
  <c r="GU8" i="20"/>
  <c r="GV8" i="20"/>
  <c r="GW8" i="20"/>
  <c r="GX8" i="20"/>
  <c r="GY8" i="20"/>
  <c r="GZ8" i="20"/>
  <c r="HA8" i="20"/>
  <c r="HB8" i="20"/>
  <c r="HC8" i="20"/>
  <c r="HD8" i="20"/>
  <c r="HE8" i="20"/>
  <c r="HF8" i="20"/>
  <c r="HG8" i="20"/>
  <c r="HH8" i="20"/>
  <c r="HI8" i="20"/>
  <c r="HJ8" i="20"/>
  <c r="HK8" i="20"/>
  <c r="HL8" i="20"/>
  <c r="HM8" i="20"/>
  <c r="HN8" i="20"/>
  <c r="HO8" i="20"/>
  <c r="HP8" i="20"/>
  <c r="HQ8" i="20"/>
  <c r="HR8" i="20"/>
  <c r="HS8" i="20"/>
  <c r="HT8" i="20"/>
  <c r="HU8" i="20"/>
  <c r="HV8" i="20"/>
  <c r="HW8" i="20"/>
  <c r="HX8" i="20"/>
  <c r="HY8" i="20"/>
  <c r="HZ8" i="20"/>
  <c r="IA8" i="20"/>
  <c r="IB8" i="20"/>
  <c r="IC8" i="20"/>
  <c r="ID8" i="20"/>
  <c r="IE8" i="20"/>
  <c r="IF8" i="20"/>
  <c r="IG8" i="20"/>
  <c r="IH8" i="20"/>
  <c r="II8" i="20"/>
  <c r="IJ8" i="20"/>
  <c r="IK8" i="20"/>
  <c r="IL8" i="20"/>
  <c r="IM8" i="20"/>
  <c r="IN8" i="20"/>
  <c r="IO8" i="20"/>
  <c r="IP8" i="20"/>
  <c r="IQ8" i="20"/>
  <c r="IR8" i="20"/>
  <c r="IS8" i="20"/>
  <c r="IT8" i="20"/>
  <c r="A7"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H7" i="20"/>
  <c r="AI7" i="20"/>
  <c r="AJ7" i="20"/>
  <c r="AK7" i="20"/>
  <c r="AL7" i="20"/>
  <c r="AM7" i="20"/>
  <c r="AN7" i="20"/>
  <c r="AO7" i="20"/>
  <c r="AP7" i="20"/>
  <c r="AQ7" i="20"/>
  <c r="AR7" i="20"/>
  <c r="AS7" i="20"/>
  <c r="AT7" i="20"/>
  <c r="AU7" i="20"/>
  <c r="AV7" i="20"/>
  <c r="AW7" i="20"/>
  <c r="AX7" i="20"/>
  <c r="AY7" i="20"/>
  <c r="AZ7" i="20"/>
  <c r="BA7" i="20"/>
  <c r="BB7" i="20"/>
  <c r="BC7" i="20"/>
  <c r="BD7" i="20"/>
  <c r="BE7" i="20"/>
  <c r="BF7" i="20"/>
  <c r="BG7" i="20"/>
  <c r="BH7" i="20"/>
  <c r="BI7" i="20"/>
  <c r="BJ7" i="20"/>
  <c r="BK7" i="20"/>
  <c r="BL7" i="20"/>
  <c r="BM7" i="20"/>
  <c r="BN7" i="20"/>
  <c r="BO7" i="20"/>
  <c r="BP7" i="20"/>
  <c r="BQ7" i="20"/>
  <c r="BR7" i="20"/>
  <c r="BS7" i="20"/>
  <c r="BT7" i="20"/>
  <c r="BU7" i="20"/>
  <c r="BV7" i="20"/>
  <c r="BW7" i="20"/>
  <c r="BX7" i="20"/>
  <c r="BY7" i="20"/>
  <c r="BZ7" i="20"/>
  <c r="CA7" i="20"/>
  <c r="CB7" i="20"/>
  <c r="CC7" i="20"/>
  <c r="CD7" i="20"/>
  <c r="CE7" i="20"/>
  <c r="CF7" i="20"/>
  <c r="CG7" i="20"/>
  <c r="CH7" i="20"/>
  <c r="CI7" i="20"/>
  <c r="CJ7" i="20"/>
  <c r="CK7" i="20"/>
  <c r="CL7" i="20"/>
  <c r="CM7" i="20"/>
  <c r="CN7" i="20"/>
  <c r="CO7" i="20"/>
  <c r="CP7" i="20"/>
  <c r="CQ7" i="20"/>
  <c r="CR7" i="20"/>
  <c r="CS7" i="20"/>
  <c r="CT7" i="20"/>
  <c r="CU7" i="20"/>
  <c r="CV7" i="20"/>
  <c r="CW7" i="20"/>
  <c r="CX7" i="20"/>
  <c r="CY7" i="20"/>
  <c r="CZ7" i="20"/>
  <c r="DA7" i="20"/>
  <c r="DB7" i="20"/>
  <c r="DC7" i="20"/>
  <c r="DD7" i="20"/>
  <c r="DE7" i="20"/>
  <c r="DF7" i="20"/>
  <c r="DG7" i="20"/>
  <c r="DH7" i="20"/>
  <c r="DI7" i="20"/>
  <c r="DJ7" i="20"/>
  <c r="DK7" i="20"/>
  <c r="DL7" i="20"/>
  <c r="DM7" i="20"/>
  <c r="DN7" i="20"/>
  <c r="DO7" i="20"/>
  <c r="DP7" i="20"/>
  <c r="DQ7" i="20"/>
  <c r="DR7" i="20"/>
  <c r="DS7" i="20"/>
  <c r="DT7" i="20"/>
  <c r="DU7" i="20"/>
  <c r="DV7" i="20"/>
  <c r="DW7" i="20"/>
  <c r="DX7" i="20"/>
  <c r="DY7" i="20"/>
  <c r="DZ7" i="20"/>
  <c r="EA7" i="20"/>
  <c r="EB7" i="20"/>
  <c r="EC7" i="20"/>
  <c r="ED7" i="20"/>
  <c r="EE7" i="20"/>
  <c r="EF7" i="20"/>
  <c r="EG7" i="20"/>
  <c r="EH7" i="20"/>
  <c r="EI7" i="20"/>
  <c r="EJ7" i="20"/>
  <c r="EK7" i="20"/>
  <c r="EL7" i="20"/>
  <c r="EM7" i="20"/>
  <c r="EN7" i="20"/>
  <c r="EO7" i="20"/>
  <c r="EP7" i="20"/>
  <c r="EQ7" i="20"/>
  <c r="ER7" i="20"/>
  <c r="ES7" i="20"/>
  <c r="ET7" i="20"/>
  <c r="EU7" i="20"/>
  <c r="EV7" i="20"/>
  <c r="EW7" i="20"/>
  <c r="EX7" i="20"/>
  <c r="EY7" i="20"/>
  <c r="EZ7" i="20"/>
  <c r="FA7" i="20"/>
  <c r="FB7" i="20"/>
  <c r="FC7" i="20"/>
  <c r="FD7" i="20"/>
  <c r="FE7" i="20"/>
  <c r="FF7" i="20"/>
  <c r="FG7" i="20"/>
  <c r="FH7" i="20"/>
  <c r="FI7" i="20"/>
  <c r="FJ7" i="20"/>
  <c r="FK7" i="20"/>
  <c r="FL7" i="20"/>
  <c r="FM7" i="20"/>
  <c r="FN7" i="20"/>
  <c r="FO7" i="20"/>
  <c r="FP7" i="20"/>
  <c r="FQ7" i="20"/>
  <c r="FR7" i="20"/>
  <c r="FS7" i="20"/>
  <c r="FT7" i="20"/>
  <c r="FU7" i="20"/>
  <c r="FV7" i="20"/>
  <c r="FW7" i="20"/>
  <c r="FX7" i="20"/>
  <c r="FY7" i="20"/>
  <c r="FZ7" i="20"/>
  <c r="GA7" i="20"/>
  <c r="GB7" i="20"/>
  <c r="GC7" i="20"/>
  <c r="GD7" i="20"/>
  <c r="GE7" i="20"/>
  <c r="GF7" i="20"/>
  <c r="GG7" i="20"/>
  <c r="GH7" i="20"/>
  <c r="GI7" i="20"/>
  <c r="GJ7" i="20"/>
  <c r="GK7" i="20"/>
  <c r="GL7" i="20"/>
  <c r="GM7" i="20"/>
  <c r="GN7" i="20"/>
  <c r="GO7" i="20"/>
  <c r="GP7" i="20"/>
  <c r="GQ7" i="20"/>
  <c r="GR7" i="20"/>
  <c r="GS7" i="20"/>
  <c r="GT7" i="20"/>
  <c r="GU7" i="20"/>
  <c r="GV7" i="20"/>
  <c r="GW7" i="20"/>
  <c r="GX7" i="20"/>
  <c r="GY7" i="20"/>
  <c r="GZ7" i="20"/>
  <c r="HA7" i="20"/>
  <c r="HB7" i="20"/>
  <c r="HC7" i="20"/>
  <c r="HD7" i="20"/>
  <c r="HE7" i="20"/>
  <c r="HF7" i="20"/>
  <c r="HG7" i="20"/>
  <c r="HH7" i="20"/>
  <c r="HI7" i="20"/>
  <c r="HJ7" i="20"/>
  <c r="HK7" i="20"/>
  <c r="HL7" i="20"/>
  <c r="HM7" i="20"/>
  <c r="HN7" i="20"/>
  <c r="HO7" i="20"/>
  <c r="HP7" i="20"/>
  <c r="HQ7" i="20"/>
  <c r="HR7" i="20"/>
  <c r="HS7" i="20"/>
  <c r="HT7" i="20"/>
  <c r="HU7" i="20"/>
  <c r="HV7" i="20"/>
  <c r="HW7" i="20"/>
  <c r="HX7" i="20"/>
  <c r="HY7" i="20"/>
  <c r="HZ7" i="20"/>
  <c r="IA7" i="20"/>
  <c r="IB7" i="20"/>
  <c r="IC7" i="20"/>
  <c r="ID7" i="20"/>
  <c r="IE7" i="20"/>
  <c r="IF7" i="20"/>
  <c r="IG7" i="20"/>
  <c r="IH7" i="20"/>
  <c r="II7" i="20"/>
  <c r="IJ7" i="20"/>
  <c r="IK7" i="20"/>
  <c r="IL7" i="20"/>
  <c r="IM7" i="20"/>
  <c r="IN7" i="20"/>
  <c r="IO7" i="20"/>
  <c r="IP7" i="20"/>
  <c r="IQ7" i="20"/>
  <c r="IR7" i="20"/>
  <c r="IS7" i="20"/>
  <c r="IT7" i="20"/>
  <c r="IU7" i="20"/>
  <c r="IV7" i="20"/>
  <c r="A6" i="20"/>
  <c r="B6" i="20"/>
  <c r="C6" i="20"/>
  <c r="D6" i="20"/>
  <c r="E6" i="20"/>
  <c r="F6" i="20"/>
  <c r="G6" i="20"/>
  <c r="H6" i="20"/>
  <c r="I6" i="20"/>
  <c r="J6" i="20"/>
  <c r="K6" i="20"/>
  <c r="L6" i="20"/>
  <c r="M6" i="20"/>
  <c r="N6" i="20"/>
  <c r="O6" i="20"/>
  <c r="P6" i="20"/>
  <c r="Q6" i="20"/>
  <c r="R6" i="20"/>
  <c r="S6" i="20"/>
  <c r="T6" i="20"/>
  <c r="U6" i="20"/>
  <c r="V6" i="20"/>
  <c r="W6" i="20"/>
  <c r="X6" i="20"/>
  <c r="Y6" i="20"/>
  <c r="Z6" i="20"/>
  <c r="AA6" i="20"/>
  <c r="AB6" i="20"/>
  <c r="AC6" i="20"/>
  <c r="AD6" i="20"/>
  <c r="AE6" i="20"/>
  <c r="AF6" i="20"/>
  <c r="AG6" i="20"/>
  <c r="AH6" i="20"/>
  <c r="AI6" i="20"/>
  <c r="AJ6" i="20"/>
  <c r="AK6" i="20"/>
  <c r="AL6" i="20"/>
  <c r="AM6" i="20"/>
  <c r="AN6" i="20"/>
  <c r="AO6" i="20"/>
  <c r="AP6" i="20"/>
  <c r="AQ6" i="20"/>
  <c r="AR6" i="20"/>
  <c r="AS6" i="20"/>
  <c r="AT6" i="20"/>
  <c r="AU6" i="20"/>
  <c r="AV6" i="20"/>
  <c r="AW6" i="20"/>
  <c r="AX6" i="20"/>
  <c r="AY6" i="20"/>
  <c r="AZ6" i="20"/>
  <c r="BA6" i="20"/>
  <c r="BB6" i="20"/>
  <c r="BC6" i="20"/>
  <c r="BD6" i="20"/>
  <c r="BE6" i="20"/>
  <c r="BF6" i="20"/>
  <c r="BG6" i="20"/>
  <c r="BH6" i="20"/>
  <c r="BI6" i="20"/>
  <c r="BJ6" i="20"/>
  <c r="BK6" i="20"/>
  <c r="BL6" i="20"/>
  <c r="BM6" i="20"/>
  <c r="BN6" i="20"/>
  <c r="BO6" i="20"/>
  <c r="BP6" i="20"/>
  <c r="BQ6" i="20"/>
  <c r="BR6" i="20"/>
  <c r="BS6" i="20"/>
  <c r="BT6" i="20"/>
  <c r="BU6" i="20"/>
  <c r="BV6" i="20"/>
  <c r="BW6" i="20"/>
  <c r="BX6" i="20"/>
  <c r="BY6" i="20"/>
  <c r="BZ6" i="20"/>
  <c r="CA6" i="20"/>
  <c r="CB6" i="20"/>
  <c r="CC6" i="20"/>
  <c r="CD6" i="20"/>
  <c r="CE6" i="20"/>
  <c r="CF6" i="20"/>
  <c r="CG6" i="20"/>
  <c r="CH6" i="20"/>
  <c r="CI6" i="20"/>
  <c r="CJ6" i="20"/>
  <c r="CK6" i="20"/>
  <c r="CL6" i="20"/>
  <c r="CM6" i="20"/>
  <c r="CN6" i="20"/>
  <c r="CO6" i="20"/>
  <c r="CP6" i="20"/>
  <c r="CQ6" i="20"/>
  <c r="CR6" i="20"/>
  <c r="CS6" i="20"/>
  <c r="CT6" i="20"/>
  <c r="CU6" i="20"/>
  <c r="CV6" i="20"/>
  <c r="CW6" i="20"/>
  <c r="CX6" i="20"/>
  <c r="CY6" i="20"/>
  <c r="CZ6" i="20"/>
  <c r="DA6" i="20"/>
  <c r="DB6" i="20"/>
  <c r="DC6" i="20"/>
  <c r="DD6" i="20"/>
  <c r="DE6" i="20"/>
  <c r="DF6" i="20"/>
  <c r="DG6" i="20"/>
  <c r="DH6" i="20"/>
  <c r="DI6" i="20"/>
  <c r="DJ6" i="20"/>
  <c r="DK6" i="20"/>
  <c r="DL6" i="20"/>
  <c r="DM6" i="20"/>
  <c r="DN6" i="20"/>
  <c r="DO6" i="20"/>
  <c r="DP6" i="20"/>
  <c r="DQ6" i="20"/>
  <c r="DR6" i="20"/>
  <c r="DS6" i="20"/>
  <c r="DT6" i="20"/>
  <c r="DU6" i="20"/>
  <c r="DV6" i="20"/>
  <c r="DW6" i="20"/>
  <c r="DX6" i="20"/>
  <c r="DY6" i="20"/>
  <c r="DZ6" i="20"/>
  <c r="EA6" i="20"/>
  <c r="EB6" i="20"/>
  <c r="EC6" i="20"/>
  <c r="ED6" i="20"/>
  <c r="EE6" i="20"/>
  <c r="EF6" i="20"/>
  <c r="EG6" i="20"/>
  <c r="EH6" i="20"/>
  <c r="EI6" i="20"/>
  <c r="EJ6" i="20"/>
  <c r="EK6" i="20"/>
  <c r="EL6" i="20"/>
  <c r="EM6" i="20"/>
  <c r="EN6" i="20"/>
  <c r="EO6" i="20"/>
  <c r="EP6" i="20"/>
  <c r="EQ6" i="20"/>
  <c r="ER6" i="20"/>
  <c r="ES6" i="20"/>
  <c r="ET6" i="20"/>
  <c r="EU6" i="20"/>
  <c r="EV6" i="20"/>
  <c r="EW6" i="20"/>
  <c r="EX6" i="20"/>
  <c r="EY6" i="20"/>
  <c r="EZ6" i="20"/>
  <c r="FA6" i="20"/>
  <c r="FB6" i="20"/>
  <c r="FC6" i="20"/>
  <c r="FD6" i="20"/>
  <c r="FE6" i="20"/>
  <c r="FF6" i="20"/>
  <c r="FG6" i="20"/>
  <c r="FH6" i="20"/>
  <c r="FI6" i="20"/>
  <c r="FJ6" i="20"/>
  <c r="FK6" i="20"/>
  <c r="FL6" i="20"/>
  <c r="FM6" i="20"/>
  <c r="FN6" i="20"/>
  <c r="FO6" i="20"/>
  <c r="FP6" i="20"/>
  <c r="FQ6" i="20"/>
  <c r="FR6" i="20"/>
  <c r="FS6" i="20"/>
  <c r="FT6" i="20"/>
  <c r="FU6" i="20"/>
  <c r="FV6" i="20"/>
  <c r="FW6" i="20"/>
  <c r="FX6" i="20"/>
  <c r="FY6" i="20"/>
  <c r="FZ6" i="20"/>
  <c r="GA6" i="20"/>
  <c r="GB6" i="20"/>
  <c r="GC6" i="20"/>
  <c r="GD6" i="20"/>
  <c r="GE6" i="20"/>
  <c r="GF6" i="20"/>
  <c r="GG6" i="20"/>
  <c r="GH6" i="20"/>
  <c r="GI6" i="20"/>
  <c r="GJ6" i="20"/>
  <c r="GK6" i="20"/>
  <c r="GL6" i="20"/>
  <c r="GM6" i="20"/>
  <c r="GN6" i="20"/>
  <c r="GO6" i="20"/>
  <c r="GP6" i="20"/>
  <c r="GQ6" i="20"/>
  <c r="GR6" i="20"/>
  <c r="GS6" i="20"/>
  <c r="GT6" i="20"/>
  <c r="GU6" i="20"/>
  <c r="GV6" i="20"/>
  <c r="GW6" i="20"/>
  <c r="GX6" i="20"/>
  <c r="GY6" i="20"/>
  <c r="GZ6" i="20"/>
  <c r="HA6" i="20"/>
  <c r="HB6" i="20"/>
  <c r="HC6" i="20"/>
  <c r="HD6" i="20"/>
  <c r="HE6" i="20"/>
  <c r="HF6" i="20"/>
  <c r="HG6" i="20"/>
  <c r="HH6" i="20"/>
  <c r="HI6" i="20"/>
  <c r="HJ6" i="20"/>
  <c r="HK6" i="20"/>
  <c r="HL6" i="20"/>
  <c r="HM6" i="20"/>
  <c r="HN6" i="20"/>
  <c r="HO6" i="20"/>
  <c r="HP6" i="20"/>
  <c r="HQ6" i="20"/>
  <c r="HR6" i="20"/>
  <c r="HS6" i="20"/>
  <c r="HT6" i="20"/>
  <c r="HU6" i="20"/>
  <c r="HV6" i="20"/>
  <c r="HW6" i="20"/>
  <c r="HX6" i="20"/>
  <c r="HY6" i="20"/>
  <c r="HZ6" i="20"/>
  <c r="IA6" i="20"/>
  <c r="IB6" i="20"/>
  <c r="IC6" i="20"/>
  <c r="ID6" i="20"/>
  <c r="IE6" i="20"/>
  <c r="IF6" i="20"/>
  <c r="IG6" i="20"/>
  <c r="IH6" i="20"/>
  <c r="II6" i="20"/>
  <c r="IJ6" i="20"/>
  <c r="IK6" i="20"/>
  <c r="IL6" i="20"/>
  <c r="IM6" i="20"/>
  <c r="IN6" i="20"/>
  <c r="IO6" i="20"/>
  <c r="IP6" i="20"/>
  <c r="IQ6" i="20"/>
  <c r="IR6" i="20"/>
  <c r="IS6" i="20"/>
  <c r="IT6" i="20"/>
  <c r="IU6" i="20"/>
  <c r="IV6" i="20"/>
  <c r="A5" i="20"/>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BH5" i="20"/>
  <c r="BI5" i="20"/>
  <c r="BJ5" i="20"/>
  <c r="BK5" i="20"/>
  <c r="BL5" i="20"/>
  <c r="BM5" i="20"/>
  <c r="BN5" i="20"/>
  <c r="BO5" i="20"/>
  <c r="BP5" i="20"/>
  <c r="BQ5" i="20"/>
  <c r="BR5" i="20"/>
  <c r="BS5" i="20"/>
  <c r="BT5" i="20"/>
  <c r="BU5" i="20"/>
  <c r="BV5" i="20"/>
  <c r="BW5" i="20"/>
  <c r="BX5" i="20"/>
  <c r="BY5" i="20"/>
  <c r="BZ5" i="20"/>
  <c r="CA5" i="20"/>
  <c r="CB5" i="20"/>
  <c r="CC5" i="20"/>
  <c r="CD5" i="20"/>
  <c r="CE5" i="20"/>
  <c r="CF5" i="20"/>
  <c r="CG5" i="20"/>
  <c r="CH5" i="20"/>
  <c r="CI5" i="20"/>
  <c r="CJ5" i="20"/>
  <c r="CK5" i="20"/>
  <c r="CL5" i="20"/>
  <c r="CM5" i="20"/>
  <c r="CN5" i="20"/>
  <c r="CO5" i="20"/>
  <c r="CP5" i="20"/>
  <c r="CQ5" i="20"/>
  <c r="CR5" i="20"/>
  <c r="CS5" i="20"/>
  <c r="CT5" i="20"/>
  <c r="CU5" i="20"/>
  <c r="CV5" i="20"/>
  <c r="CW5" i="20"/>
  <c r="CX5" i="20"/>
  <c r="CY5" i="20"/>
  <c r="CZ5" i="20"/>
  <c r="DA5" i="20"/>
  <c r="DB5" i="20"/>
  <c r="DC5" i="20"/>
  <c r="DD5" i="20"/>
  <c r="DE5" i="20"/>
  <c r="DF5" i="20"/>
  <c r="DG5" i="20"/>
  <c r="DH5" i="20"/>
  <c r="DI5" i="20"/>
  <c r="DJ5" i="20"/>
  <c r="DK5" i="20"/>
  <c r="DL5" i="20"/>
  <c r="DM5" i="20"/>
  <c r="DN5" i="20"/>
  <c r="DO5" i="20"/>
  <c r="DP5" i="20"/>
  <c r="DQ5" i="20"/>
  <c r="DR5" i="20"/>
  <c r="DS5" i="20"/>
  <c r="DT5" i="20"/>
  <c r="DU5" i="20"/>
  <c r="DV5" i="20"/>
  <c r="DW5" i="20"/>
  <c r="DX5" i="20"/>
  <c r="DY5" i="20"/>
  <c r="DZ5" i="20"/>
  <c r="EA5" i="20"/>
  <c r="EB5" i="20"/>
  <c r="EC5" i="20"/>
  <c r="ED5" i="20"/>
  <c r="EE5" i="20"/>
  <c r="EF5" i="20"/>
  <c r="EG5" i="20"/>
  <c r="EH5" i="20"/>
  <c r="EI5" i="20"/>
  <c r="EJ5" i="20"/>
  <c r="EK5" i="20"/>
  <c r="EL5" i="20"/>
  <c r="EM5" i="20"/>
  <c r="EN5" i="20"/>
  <c r="EO5" i="20"/>
  <c r="EP5" i="20"/>
  <c r="EQ5" i="20"/>
  <c r="ER5" i="20"/>
  <c r="ES5" i="20"/>
  <c r="ET5" i="20"/>
  <c r="EU5" i="20"/>
  <c r="EV5" i="20"/>
  <c r="EW5" i="20"/>
  <c r="EX5" i="20"/>
  <c r="EY5" i="20"/>
  <c r="EZ5" i="20"/>
  <c r="FA5" i="20"/>
  <c r="FB5" i="20"/>
  <c r="FC5" i="20"/>
  <c r="FD5" i="20"/>
  <c r="FE5" i="20"/>
  <c r="FF5" i="20"/>
  <c r="FG5" i="20"/>
  <c r="FH5" i="20"/>
  <c r="FI5" i="20"/>
  <c r="FJ5" i="20"/>
  <c r="FK5" i="20"/>
  <c r="FL5" i="20"/>
  <c r="FM5" i="20"/>
  <c r="FN5" i="20"/>
  <c r="FO5" i="20"/>
  <c r="FP5" i="20"/>
  <c r="FQ5" i="20"/>
  <c r="FR5" i="20"/>
  <c r="FS5" i="20"/>
  <c r="FT5" i="20"/>
  <c r="FU5" i="20"/>
  <c r="FV5" i="20"/>
  <c r="FW5" i="20"/>
  <c r="FX5" i="20"/>
  <c r="FY5" i="20"/>
  <c r="FZ5" i="20"/>
  <c r="GA5" i="20"/>
  <c r="GB5" i="20"/>
  <c r="GC5" i="20"/>
  <c r="GD5" i="20"/>
  <c r="GE5" i="20"/>
  <c r="GF5" i="20"/>
  <c r="GG5" i="20"/>
  <c r="GH5" i="20"/>
  <c r="GI5" i="20"/>
  <c r="GJ5" i="20"/>
  <c r="GK5" i="20"/>
  <c r="GL5" i="20"/>
  <c r="GM5" i="20"/>
  <c r="GN5" i="20"/>
  <c r="GO5" i="20"/>
  <c r="GP5" i="20"/>
  <c r="GQ5" i="20"/>
  <c r="GR5" i="20"/>
  <c r="GS5" i="20"/>
  <c r="GT5" i="20"/>
  <c r="GU5" i="20"/>
  <c r="GV5" i="20"/>
  <c r="GW5" i="20"/>
  <c r="GX5" i="20"/>
  <c r="GY5" i="20"/>
  <c r="GZ5" i="20"/>
  <c r="HA5" i="20"/>
  <c r="HB5" i="20"/>
  <c r="HC5" i="20"/>
  <c r="HD5" i="20"/>
  <c r="HE5" i="20"/>
  <c r="HF5" i="20"/>
  <c r="HG5" i="20"/>
  <c r="HH5" i="20"/>
  <c r="HI5" i="20"/>
  <c r="HJ5" i="20"/>
  <c r="HK5" i="20"/>
  <c r="HL5" i="20"/>
  <c r="HM5" i="20"/>
  <c r="HN5" i="20"/>
  <c r="HO5" i="20"/>
  <c r="HP5" i="20"/>
  <c r="HQ5" i="20"/>
  <c r="HR5" i="20"/>
  <c r="HS5" i="20"/>
  <c r="HT5" i="20"/>
  <c r="HU5" i="20"/>
  <c r="HV5" i="20"/>
  <c r="HW5" i="20"/>
  <c r="HX5" i="20"/>
  <c r="HY5" i="20"/>
  <c r="HZ5" i="20"/>
  <c r="IA5" i="20"/>
  <c r="IB5" i="20"/>
  <c r="IC5" i="20"/>
  <c r="ID5" i="20"/>
  <c r="IE5" i="20"/>
  <c r="IF5" i="20"/>
  <c r="IG5" i="20"/>
  <c r="IH5" i="20"/>
  <c r="II5" i="20"/>
  <c r="IJ5" i="20"/>
  <c r="IK5" i="20"/>
  <c r="IL5" i="20"/>
  <c r="IM5" i="20"/>
  <c r="IN5" i="20"/>
  <c r="IO5" i="20"/>
  <c r="IP5" i="20"/>
  <c r="IQ5" i="20"/>
  <c r="IR5" i="20"/>
  <c r="IS5" i="20"/>
  <c r="IT5" i="20"/>
  <c r="IU5" i="20"/>
  <c r="IV5" i="20"/>
  <c r="A4" i="20"/>
  <c r="B4" i="20"/>
  <c r="C4" i="20"/>
  <c r="D4" i="20"/>
  <c r="E4" i="20"/>
  <c r="F4" i="20"/>
  <c r="G4" i="20"/>
  <c r="H4" i="20"/>
  <c r="I4" i="20"/>
  <c r="J4" i="20"/>
  <c r="K4" i="20"/>
  <c r="L4" i="20"/>
  <c r="M4" i="20"/>
  <c r="N4" i="20"/>
  <c r="O4" i="20"/>
  <c r="P4" i="20"/>
  <c r="Q4" i="20"/>
  <c r="R4" i="20"/>
  <c r="S4" i="20"/>
  <c r="T4" i="20"/>
  <c r="U4" i="20"/>
  <c r="V4" i="20"/>
  <c r="W4" i="20"/>
  <c r="X4" i="20"/>
  <c r="Y4" i="20"/>
  <c r="Z4" i="20"/>
  <c r="AA4" i="20"/>
  <c r="AB4" i="20"/>
  <c r="AC4" i="20"/>
  <c r="AD4" i="20"/>
  <c r="AE4" i="20"/>
  <c r="AF4" i="20"/>
  <c r="AG4" i="20"/>
  <c r="AH4" i="20"/>
  <c r="AI4" i="20"/>
  <c r="AJ4" i="20"/>
  <c r="AK4" i="20"/>
  <c r="AL4" i="20"/>
  <c r="AM4" i="20"/>
  <c r="AN4" i="20"/>
  <c r="AO4" i="20"/>
  <c r="AP4" i="20"/>
  <c r="AQ4" i="20"/>
  <c r="AR4" i="20"/>
  <c r="AS4" i="20"/>
  <c r="AT4" i="20"/>
  <c r="AU4" i="20"/>
  <c r="AV4" i="20"/>
  <c r="AW4" i="20"/>
  <c r="AX4" i="20"/>
  <c r="AY4" i="20"/>
  <c r="AZ4" i="20"/>
  <c r="BA4" i="20"/>
  <c r="BB4" i="20"/>
  <c r="BC4" i="20"/>
  <c r="BD4" i="20"/>
  <c r="BE4" i="20"/>
  <c r="BF4" i="20"/>
  <c r="BG4" i="20"/>
  <c r="BH4" i="20"/>
  <c r="BI4" i="20"/>
  <c r="BJ4" i="20"/>
  <c r="BK4" i="20"/>
  <c r="BL4" i="20"/>
  <c r="BM4" i="20"/>
  <c r="BN4" i="20"/>
  <c r="BO4" i="20"/>
  <c r="BP4" i="20"/>
  <c r="BQ4" i="20"/>
  <c r="BR4" i="20"/>
  <c r="BS4" i="20"/>
  <c r="BT4" i="20"/>
  <c r="BU4" i="20"/>
  <c r="BV4" i="20"/>
  <c r="BW4" i="20"/>
  <c r="BX4" i="20"/>
  <c r="BY4" i="20"/>
  <c r="BZ4" i="20"/>
  <c r="CA4" i="20"/>
  <c r="CB4" i="20"/>
  <c r="CC4" i="20"/>
  <c r="CD4" i="20"/>
  <c r="CE4" i="20"/>
  <c r="CF4" i="20"/>
  <c r="CG4" i="20"/>
  <c r="CH4" i="20"/>
  <c r="CI4" i="20"/>
  <c r="CJ4" i="20"/>
  <c r="CK4" i="20"/>
  <c r="CL4" i="20"/>
  <c r="CM4" i="20"/>
  <c r="CN4" i="20"/>
  <c r="CO4" i="20"/>
  <c r="CP4" i="20"/>
  <c r="CQ4" i="20"/>
  <c r="CR4" i="20"/>
  <c r="CS4" i="20"/>
  <c r="CT4" i="20"/>
  <c r="CU4" i="20"/>
  <c r="CV4" i="20"/>
  <c r="CW4" i="20"/>
  <c r="CX4" i="20"/>
  <c r="CY4" i="20"/>
  <c r="CZ4" i="20"/>
  <c r="DA4" i="20"/>
  <c r="DB4" i="20"/>
  <c r="DC4" i="20"/>
  <c r="DD4" i="20"/>
  <c r="DE4" i="20"/>
  <c r="DF4" i="20"/>
  <c r="DG4" i="20"/>
  <c r="DH4" i="20"/>
  <c r="DI4" i="20"/>
  <c r="DJ4" i="20"/>
  <c r="DK4" i="20"/>
  <c r="DL4" i="20"/>
  <c r="DM4" i="20"/>
  <c r="DN4" i="20"/>
  <c r="DO4" i="20"/>
  <c r="DP4" i="20"/>
  <c r="DQ4" i="20"/>
  <c r="DR4" i="20"/>
  <c r="DS4" i="20"/>
  <c r="DT4" i="20"/>
  <c r="DU4" i="20"/>
  <c r="DV4" i="20"/>
  <c r="DW4" i="20"/>
  <c r="DX4" i="20"/>
  <c r="DY4" i="20"/>
  <c r="DZ4" i="20"/>
  <c r="EA4" i="20"/>
  <c r="EB4" i="20"/>
  <c r="EC4" i="20"/>
  <c r="ED4" i="20"/>
  <c r="EE4" i="20"/>
  <c r="EF4" i="20"/>
  <c r="EG4" i="20"/>
  <c r="EH4" i="20"/>
  <c r="EI4" i="20"/>
  <c r="EJ4" i="20"/>
  <c r="EK4" i="20"/>
  <c r="EL4" i="20"/>
  <c r="EM4" i="20"/>
  <c r="EN4" i="20"/>
  <c r="EO4" i="20"/>
  <c r="EP4" i="20"/>
  <c r="EQ4" i="20"/>
  <c r="ER4" i="20"/>
  <c r="ES4" i="20"/>
  <c r="ET4" i="20"/>
  <c r="EU4" i="20"/>
  <c r="EV4" i="20"/>
  <c r="EW4" i="20"/>
  <c r="EX4" i="20"/>
  <c r="EY4" i="20"/>
  <c r="EZ4" i="20"/>
  <c r="FA4" i="20"/>
  <c r="FB4" i="20"/>
  <c r="FC4" i="20"/>
  <c r="FD4" i="20"/>
  <c r="FE4" i="20"/>
  <c r="FF4" i="20"/>
  <c r="FG4" i="20"/>
  <c r="FH4" i="20"/>
  <c r="FI4" i="20"/>
  <c r="FJ4" i="20"/>
  <c r="FK4" i="20"/>
  <c r="FL4" i="20"/>
  <c r="FM4" i="20"/>
  <c r="FN4" i="20"/>
  <c r="FO4" i="20"/>
  <c r="FP4" i="20"/>
  <c r="FQ4" i="20"/>
  <c r="FR4" i="20"/>
  <c r="FS4" i="20"/>
  <c r="FT4" i="20"/>
  <c r="FU4" i="20"/>
  <c r="FV4" i="20"/>
  <c r="FW4" i="20"/>
  <c r="FX4" i="20"/>
  <c r="FY4" i="20"/>
  <c r="FZ4" i="20"/>
  <c r="GA4" i="20"/>
  <c r="GB4" i="20"/>
  <c r="GC4" i="20"/>
  <c r="GD4" i="20"/>
  <c r="GE4" i="20"/>
  <c r="GF4" i="20"/>
  <c r="GG4" i="20"/>
  <c r="GH4" i="20"/>
  <c r="GI4" i="20"/>
  <c r="GJ4" i="20"/>
  <c r="GK4" i="20"/>
  <c r="GL4" i="20"/>
  <c r="GM4" i="20"/>
  <c r="GN4" i="20"/>
  <c r="GO4" i="20"/>
  <c r="GP4" i="20"/>
  <c r="GQ4" i="20"/>
  <c r="GR4" i="20"/>
  <c r="GS4" i="20"/>
  <c r="GT4" i="20"/>
  <c r="GU4" i="20"/>
  <c r="GV4" i="20"/>
  <c r="GW4" i="20"/>
  <c r="GX4" i="20"/>
  <c r="GY4" i="20"/>
  <c r="GZ4" i="20"/>
  <c r="HA4" i="20"/>
  <c r="HB4" i="20"/>
  <c r="HC4" i="20"/>
  <c r="HD4" i="20"/>
  <c r="HE4" i="20"/>
  <c r="HF4" i="20"/>
  <c r="HG4" i="20"/>
  <c r="HH4" i="20"/>
  <c r="HI4" i="20"/>
  <c r="HJ4" i="20"/>
  <c r="HK4" i="20"/>
  <c r="HL4" i="20"/>
  <c r="HM4" i="20"/>
  <c r="HN4" i="20"/>
  <c r="HO4" i="20"/>
  <c r="HP4" i="20"/>
  <c r="HQ4" i="20"/>
  <c r="HR4" i="20"/>
  <c r="HS4" i="20"/>
  <c r="HT4" i="20"/>
  <c r="HU4" i="20"/>
  <c r="HV4" i="20"/>
  <c r="HW4" i="20"/>
  <c r="HX4" i="20"/>
  <c r="HY4" i="20"/>
  <c r="HZ4" i="20"/>
  <c r="IA4" i="20"/>
  <c r="IB4" i="20"/>
  <c r="IC4" i="20"/>
  <c r="ID4" i="20"/>
  <c r="IE4" i="20"/>
  <c r="IF4" i="20"/>
  <c r="IG4" i="20"/>
  <c r="IH4" i="20"/>
  <c r="II4" i="20"/>
  <c r="IJ4" i="20"/>
  <c r="IK4" i="20"/>
  <c r="IL4" i="20"/>
  <c r="IM4" i="20"/>
  <c r="IN4" i="20"/>
  <c r="IO4" i="20"/>
  <c r="IP4" i="20"/>
  <c r="IQ4" i="20"/>
  <c r="IR4" i="20"/>
  <c r="IS4" i="20"/>
  <c r="IT4" i="20"/>
  <c r="IU4" i="20"/>
  <c r="IV4" i="20"/>
  <c r="A3" i="20"/>
  <c r="B3" i="20"/>
  <c r="C3" i="20"/>
  <c r="D3" i="20"/>
  <c r="E3" i="20"/>
  <c r="F3" i="20"/>
  <c r="G3" i="20"/>
  <c r="H3" i="20"/>
  <c r="I3" i="20"/>
  <c r="J3" i="20"/>
  <c r="K3" i="20"/>
  <c r="L3" i="20"/>
  <c r="M3" i="20"/>
  <c r="N3" i="20"/>
  <c r="O3" i="20"/>
  <c r="P3" i="20"/>
  <c r="Q3" i="20"/>
  <c r="R3" i="20"/>
  <c r="S3" i="20"/>
  <c r="T3" i="20"/>
  <c r="U3" i="20"/>
  <c r="V3" i="20"/>
  <c r="W3" i="20"/>
  <c r="X3" i="20"/>
  <c r="Y3" i="20"/>
  <c r="Z3" i="20"/>
  <c r="AA3" i="20"/>
  <c r="AB3" i="20"/>
  <c r="AC3" i="20"/>
  <c r="AD3" i="20"/>
  <c r="AE3" i="20"/>
  <c r="AF3" i="20"/>
  <c r="AG3" i="20"/>
  <c r="AH3" i="20"/>
  <c r="AI3" i="20"/>
  <c r="AJ3" i="20"/>
  <c r="AK3" i="20"/>
  <c r="AL3" i="20"/>
  <c r="AM3" i="20"/>
  <c r="AN3" i="20"/>
  <c r="AO3" i="20"/>
  <c r="AP3" i="20"/>
  <c r="AQ3" i="20"/>
  <c r="AR3" i="20"/>
  <c r="AS3" i="20"/>
  <c r="AT3" i="20"/>
  <c r="AU3" i="20"/>
  <c r="AV3" i="20"/>
  <c r="AW3" i="20"/>
  <c r="AX3" i="20"/>
  <c r="AY3" i="20"/>
  <c r="AZ3" i="20"/>
  <c r="BA3" i="20"/>
  <c r="BB3" i="20"/>
  <c r="BC3" i="20"/>
  <c r="BD3" i="20"/>
  <c r="BE3" i="20"/>
  <c r="BF3" i="20"/>
  <c r="BG3" i="20"/>
  <c r="BH3" i="20"/>
  <c r="BI3" i="20"/>
  <c r="BJ3" i="20"/>
  <c r="BK3" i="20"/>
  <c r="BL3" i="20"/>
  <c r="BM3" i="20"/>
  <c r="BN3" i="20"/>
  <c r="BO3" i="20"/>
  <c r="BP3" i="20"/>
  <c r="BQ3" i="20"/>
  <c r="BR3" i="20"/>
  <c r="BS3" i="20"/>
  <c r="BT3" i="20"/>
  <c r="BU3" i="20"/>
  <c r="BV3" i="20"/>
  <c r="BW3" i="20"/>
  <c r="BX3" i="20"/>
  <c r="BY3" i="20"/>
  <c r="BZ3" i="20"/>
  <c r="CA3" i="20"/>
  <c r="CB3" i="20"/>
  <c r="CC3" i="20"/>
  <c r="CD3" i="20"/>
  <c r="CE3" i="20"/>
  <c r="CF3" i="20"/>
  <c r="CG3" i="20"/>
  <c r="CH3" i="20"/>
  <c r="CI3" i="20"/>
  <c r="CJ3" i="20"/>
  <c r="CK3" i="20"/>
  <c r="CL3" i="20"/>
  <c r="CM3" i="20"/>
  <c r="CN3" i="20"/>
  <c r="CO3" i="20"/>
  <c r="CP3" i="20"/>
  <c r="CQ3" i="20"/>
  <c r="CR3" i="20"/>
  <c r="CS3" i="20"/>
  <c r="CT3" i="20"/>
  <c r="CU3" i="20"/>
  <c r="CV3" i="20"/>
  <c r="CW3" i="20"/>
  <c r="CX3" i="20"/>
  <c r="CY3" i="20"/>
  <c r="CZ3" i="20"/>
  <c r="DA3" i="20"/>
  <c r="DB3" i="20"/>
  <c r="DC3" i="20"/>
  <c r="DD3" i="20"/>
  <c r="DE3" i="20"/>
  <c r="DF3" i="20"/>
  <c r="DG3" i="20"/>
  <c r="DH3" i="20"/>
  <c r="DI3" i="20"/>
  <c r="DJ3" i="20"/>
  <c r="DK3" i="20"/>
  <c r="DL3" i="20"/>
  <c r="DM3" i="20"/>
  <c r="DN3" i="20"/>
  <c r="DO3" i="20"/>
  <c r="DP3" i="20"/>
  <c r="DQ3" i="20"/>
  <c r="DR3" i="20"/>
  <c r="DS3" i="20"/>
  <c r="DT3" i="20"/>
  <c r="DU3" i="20"/>
  <c r="DV3" i="20"/>
  <c r="DW3" i="20"/>
  <c r="DX3" i="20"/>
  <c r="DY3" i="20"/>
  <c r="DZ3" i="20"/>
  <c r="EA3" i="20"/>
  <c r="EB3" i="20"/>
  <c r="EC3" i="20"/>
  <c r="ED3" i="20"/>
  <c r="EE3" i="20"/>
  <c r="EF3" i="20"/>
  <c r="EG3" i="20"/>
  <c r="EH3" i="20"/>
  <c r="EI3" i="20"/>
  <c r="EJ3" i="20"/>
  <c r="EK3" i="20"/>
  <c r="EL3" i="20"/>
  <c r="EM3" i="20"/>
  <c r="EN3" i="20"/>
  <c r="EO3" i="20"/>
  <c r="EP3" i="20"/>
  <c r="EQ3" i="20"/>
  <c r="ER3" i="20"/>
  <c r="ES3" i="20"/>
  <c r="ET3" i="20"/>
  <c r="EU3" i="20"/>
  <c r="EV3" i="20"/>
  <c r="EW3" i="20"/>
  <c r="EX3" i="20"/>
  <c r="EY3" i="20"/>
  <c r="EZ3" i="20"/>
  <c r="FA3" i="20"/>
  <c r="FB3" i="20"/>
  <c r="FC3" i="20"/>
  <c r="FD3" i="20"/>
  <c r="FE3" i="20"/>
  <c r="FF3" i="20"/>
  <c r="FG3" i="20"/>
  <c r="FH3" i="20"/>
  <c r="FI3" i="20"/>
  <c r="FJ3" i="20"/>
  <c r="FK3" i="20"/>
  <c r="FL3" i="20"/>
  <c r="FM3" i="20"/>
  <c r="FN3" i="20"/>
  <c r="FO3" i="20"/>
  <c r="FP3" i="20"/>
  <c r="FQ3" i="20"/>
  <c r="FR3" i="20"/>
  <c r="FS3" i="20"/>
  <c r="FT3" i="20"/>
  <c r="FU3" i="20"/>
  <c r="FV3" i="20"/>
  <c r="FW3" i="20"/>
  <c r="FX3" i="20"/>
  <c r="FY3" i="20"/>
  <c r="FZ3" i="20"/>
  <c r="GA3" i="20"/>
  <c r="GB3" i="20"/>
  <c r="GC3" i="20"/>
  <c r="GD3" i="20"/>
  <c r="GE3" i="20"/>
  <c r="GF3" i="20"/>
  <c r="GG3" i="20"/>
  <c r="GH3" i="20"/>
  <c r="GI3" i="20"/>
  <c r="GJ3" i="20"/>
  <c r="GK3" i="20"/>
  <c r="GL3" i="20"/>
  <c r="GM3" i="20"/>
  <c r="GN3" i="20"/>
  <c r="GO3" i="20"/>
  <c r="GP3" i="20"/>
  <c r="GQ3" i="20"/>
  <c r="GR3" i="20"/>
  <c r="GS3" i="20"/>
  <c r="GT3" i="20"/>
  <c r="GU3" i="20"/>
  <c r="GV3" i="20"/>
  <c r="GW3" i="20"/>
  <c r="GX3" i="20"/>
  <c r="GY3" i="20"/>
  <c r="GZ3" i="20"/>
  <c r="HA3" i="20"/>
  <c r="HB3" i="20"/>
  <c r="HC3" i="20"/>
  <c r="HD3" i="20"/>
  <c r="HE3" i="20"/>
  <c r="HF3" i="20"/>
  <c r="HG3" i="20"/>
  <c r="HH3" i="20"/>
  <c r="HI3" i="20"/>
  <c r="HJ3" i="20"/>
  <c r="HK3" i="20"/>
  <c r="HL3" i="20"/>
  <c r="HM3" i="20"/>
  <c r="HN3" i="20"/>
  <c r="HO3" i="20"/>
  <c r="HP3" i="20"/>
  <c r="HQ3" i="20"/>
  <c r="HR3" i="20"/>
  <c r="HS3" i="20"/>
  <c r="HT3" i="20"/>
  <c r="HU3" i="20"/>
  <c r="HV3" i="20"/>
  <c r="HW3" i="20"/>
  <c r="HX3" i="20"/>
  <c r="HY3" i="20"/>
  <c r="HZ3" i="20"/>
  <c r="IA3" i="20"/>
  <c r="IB3" i="20"/>
  <c r="IC3" i="20"/>
  <c r="ID3" i="20"/>
  <c r="IE3" i="20"/>
  <c r="IF3" i="20"/>
  <c r="IG3" i="20"/>
  <c r="IH3" i="20"/>
  <c r="II3" i="20"/>
  <c r="IJ3" i="20"/>
  <c r="IK3" i="20"/>
  <c r="IL3" i="20"/>
  <c r="IM3" i="20"/>
  <c r="IN3" i="20"/>
  <c r="IO3" i="20"/>
  <c r="IP3" i="20"/>
  <c r="IQ3" i="20"/>
  <c r="IR3" i="20"/>
  <c r="IS3" i="20"/>
  <c r="IT3" i="20"/>
  <c r="IU3" i="20"/>
  <c r="IV3" i="20"/>
  <c r="A2" i="20"/>
  <c r="B2" i="20"/>
  <c r="C2" i="20"/>
  <c r="D2" i="20"/>
  <c r="E2" i="20"/>
  <c r="F2" i="20"/>
  <c r="G2" i="20"/>
  <c r="H2" i="20"/>
  <c r="I2" i="20"/>
  <c r="J2" i="20"/>
  <c r="K2" i="20"/>
  <c r="L2" i="20"/>
  <c r="M2" i="20"/>
  <c r="N2" i="20"/>
  <c r="O2" i="20"/>
  <c r="P2" i="20"/>
  <c r="Q2" i="20"/>
  <c r="R2" i="20"/>
  <c r="S2" i="20"/>
  <c r="T2" i="20"/>
  <c r="U2" i="20"/>
  <c r="V2" i="20"/>
  <c r="W2" i="20"/>
  <c r="X2" i="20"/>
  <c r="Y2" i="20"/>
  <c r="Z2" i="20"/>
  <c r="AA2" i="20"/>
  <c r="AB2" i="20"/>
  <c r="AC2" i="20"/>
  <c r="AD2" i="20"/>
  <c r="AE2" i="20"/>
  <c r="AF2" i="20"/>
  <c r="AG2" i="20"/>
  <c r="AH2" i="20"/>
  <c r="AI2" i="20"/>
  <c r="AJ2" i="20"/>
  <c r="AK2" i="20"/>
  <c r="AL2" i="20"/>
  <c r="AM2" i="20"/>
  <c r="AN2" i="20"/>
  <c r="AO2" i="20"/>
  <c r="AP2" i="20"/>
  <c r="AQ2" i="20"/>
  <c r="AR2" i="20"/>
  <c r="AS2" i="20"/>
  <c r="AT2" i="20"/>
  <c r="AU2" i="20"/>
  <c r="AV2" i="20"/>
  <c r="AW2" i="20"/>
  <c r="AX2" i="20"/>
  <c r="AY2" i="20"/>
  <c r="AZ2" i="20"/>
  <c r="BA2" i="20"/>
  <c r="BB2" i="20"/>
  <c r="BC2" i="20"/>
  <c r="BD2" i="20"/>
  <c r="BE2" i="20"/>
  <c r="BF2" i="20"/>
  <c r="BG2" i="20"/>
  <c r="BH2" i="20"/>
  <c r="BI2" i="20"/>
  <c r="BJ2" i="20"/>
  <c r="BK2" i="20"/>
  <c r="BL2" i="20"/>
  <c r="BM2" i="20"/>
  <c r="BN2" i="20"/>
  <c r="BO2" i="20"/>
  <c r="BP2" i="20"/>
  <c r="BQ2" i="20"/>
  <c r="BR2" i="20"/>
  <c r="BS2" i="20"/>
  <c r="BT2" i="20"/>
  <c r="BU2" i="20"/>
  <c r="BV2" i="20"/>
  <c r="BW2" i="20"/>
  <c r="BX2" i="20"/>
  <c r="BY2" i="20"/>
  <c r="BZ2" i="20"/>
  <c r="CA2" i="20"/>
  <c r="CB2" i="20"/>
  <c r="CC2" i="20"/>
  <c r="CD2" i="20"/>
  <c r="CE2" i="20"/>
  <c r="CF2" i="20"/>
  <c r="CG2" i="20"/>
  <c r="CH2" i="20"/>
  <c r="CI2" i="20"/>
  <c r="CJ2" i="20"/>
  <c r="CK2" i="20"/>
  <c r="CL2" i="20"/>
  <c r="CM2" i="20"/>
  <c r="CN2" i="20"/>
  <c r="CO2" i="20"/>
  <c r="CP2" i="20"/>
  <c r="CQ2" i="20"/>
  <c r="CR2" i="20"/>
  <c r="CS2" i="20"/>
  <c r="CT2" i="20"/>
  <c r="CU2" i="20"/>
  <c r="CV2" i="20"/>
  <c r="CW2" i="20"/>
  <c r="CX2" i="20"/>
  <c r="CY2" i="20"/>
  <c r="CZ2" i="20"/>
  <c r="DA2" i="20"/>
  <c r="DB2" i="20"/>
  <c r="DC2" i="20"/>
  <c r="DD2" i="20"/>
  <c r="DE2" i="20"/>
  <c r="DF2" i="20"/>
  <c r="DG2" i="20"/>
  <c r="DH2" i="20"/>
  <c r="DI2" i="20"/>
  <c r="DJ2" i="20"/>
  <c r="DK2" i="20"/>
  <c r="DL2" i="20"/>
  <c r="DM2" i="20"/>
  <c r="DN2" i="20"/>
  <c r="DO2" i="20"/>
  <c r="DP2" i="20"/>
  <c r="DQ2" i="20"/>
  <c r="DR2" i="20"/>
  <c r="DS2" i="20"/>
  <c r="DT2" i="20"/>
  <c r="DU2" i="20"/>
  <c r="DV2" i="20"/>
  <c r="DW2" i="20"/>
  <c r="DX2" i="20"/>
  <c r="DY2" i="20"/>
  <c r="DZ2" i="20"/>
  <c r="EA2" i="20"/>
  <c r="EB2" i="20"/>
  <c r="EC2" i="20"/>
  <c r="ED2" i="20"/>
  <c r="EE2" i="20"/>
  <c r="EF2" i="20"/>
  <c r="EG2" i="20"/>
  <c r="EH2" i="20"/>
  <c r="EI2" i="20"/>
  <c r="EJ2" i="20"/>
  <c r="EK2" i="20"/>
  <c r="EL2" i="20"/>
  <c r="EM2" i="20"/>
  <c r="EN2" i="20"/>
  <c r="EO2" i="20"/>
  <c r="EP2" i="20"/>
  <c r="EQ2" i="20"/>
  <c r="ER2" i="20"/>
  <c r="ES2" i="20"/>
  <c r="ET2" i="20"/>
  <c r="EU2" i="20"/>
  <c r="EV2" i="20"/>
  <c r="EW2" i="20"/>
  <c r="EX2" i="20"/>
  <c r="EY2" i="20"/>
  <c r="EZ2" i="20"/>
  <c r="FA2" i="20"/>
  <c r="FB2" i="20"/>
  <c r="FC2" i="20"/>
  <c r="FD2" i="20"/>
  <c r="FE2" i="20"/>
  <c r="FF2" i="20"/>
  <c r="FG2" i="20"/>
  <c r="FH2" i="20"/>
  <c r="FI2" i="20"/>
  <c r="FJ2" i="20"/>
  <c r="FK2" i="20"/>
  <c r="FL2" i="20"/>
  <c r="FM2" i="20"/>
  <c r="FN2" i="20"/>
  <c r="FO2" i="20"/>
  <c r="FP2" i="20"/>
  <c r="FQ2" i="20"/>
  <c r="FR2" i="20"/>
  <c r="FS2" i="20"/>
  <c r="FT2" i="20"/>
  <c r="FU2" i="20"/>
  <c r="FV2" i="20"/>
  <c r="FW2" i="20"/>
  <c r="FX2" i="20"/>
  <c r="FY2" i="20"/>
  <c r="FZ2" i="20"/>
  <c r="GA2" i="20"/>
  <c r="GB2" i="20"/>
  <c r="GC2" i="20"/>
  <c r="GD2" i="20"/>
  <c r="GE2" i="20"/>
  <c r="GF2" i="20"/>
  <c r="GG2" i="20"/>
  <c r="GH2" i="20"/>
  <c r="GI2" i="20"/>
  <c r="GJ2" i="20"/>
  <c r="GK2" i="20"/>
  <c r="GL2" i="20"/>
  <c r="GM2" i="20"/>
  <c r="GN2" i="20"/>
  <c r="GO2" i="20"/>
  <c r="GP2" i="20"/>
  <c r="GQ2" i="20"/>
  <c r="GR2" i="20"/>
  <c r="GS2" i="20"/>
  <c r="GT2" i="20"/>
  <c r="GU2" i="20"/>
  <c r="GV2" i="20"/>
  <c r="GW2" i="20"/>
  <c r="GX2" i="20"/>
  <c r="GY2" i="20"/>
  <c r="GZ2" i="20"/>
  <c r="HA2" i="20"/>
  <c r="HB2" i="20"/>
  <c r="HC2" i="20"/>
  <c r="HD2" i="20"/>
  <c r="HE2" i="20"/>
  <c r="HF2" i="20"/>
  <c r="HG2" i="20"/>
  <c r="HH2" i="20"/>
  <c r="HI2" i="20"/>
  <c r="HJ2" i="20"/>
  <c r="HK2" i="20"/>
  <c r="HL2" i="20"/>
  <c r="HM2" i="20"/>
  <c r="HN2" i="20"/>
  <c r="HO2" i="20"/>
  <c r="HP2" i="20"/>
  <c r="HQ2" i="20"/>
  <c r="HR2" i="20"/>
  <c r="HS2" i="20"/>
  <c r="HT2" i="20"/>
  <c r="HU2" i="20"/>
  <c r="HV2" i="20"/>
  <c r="HW2" i="20"/>
  <c r="HX2" i="20"/>
  <c r="HY2" i="20"/>
  <c r="HZ2" i="20"/>
  <c r="IA2" i="20"/>
  <c r="IB2" i="20"/>
  <c r="IC2" i="20"/>
  <c r="ID2" i="20"/>
  <c r="IE2" i="20"/>
  <c r="IF2" i="20"/>
  <c r="IG2" i="20"/>
  <c r="IH2" i="20"/>
  <c r="II2" i="20"/>
  <c r="IJ2" i="20"/>
  <c r="IK2" i="20"/>
  <c r="IL2" i="20"/>
  <c r="IM2" i="20"/>
  <c r="IN2" i="20"/>
  <c r="IO2" i="20"/>
  <c r="IP2" i="20"/>
  <c r="IQ2" i="20"/>
  <c r="IR2" i="20"/>
  <c r="IS2" i="20"/>
  <c r="IT2" i="20"/>
  <c r="IU2" i="20"/>
  <c r="IV2" i="20"/>
  <c r="A1" i="20"/>
  <c r="B1" i="20"/>
  <c r="C1" i="20"/>
  <c r="D1" i="20"/>
  <c r="E1" i="20"/>
  <c r="F1" i="20"/>
  <c r="G1" i="20"/>
  <c r="H1" i="20"/>
  <c r="I1" i="20"/>
  <c r="J1" i="20"/>
  <c r="K1" i="20"/>
  <c r="L1" i="20"/>
  <c r="M1" i="20"/>
  <c r="N1" i="20"/>
  <c r="O1" i="20"/>
  <c r="P1" i="20"/>
  <c r="Q1" i="20"/>
  <c r="R1" i="20"/>
  <c r="S1" i="20"/>
  <c r="T1" i="20"/>
  <c r="U1" i="20"/>
  <c r="V1" i="20"/>
  <c r="W1" i="20"/>
  <c r="X1" i="20"/>
  <c r="Y1" i="20"/>
  <c r="Z1" i="20"/>
  <c r="AA1" i="20"/>
  <c r="AB1" i="20"/>
  <c r="AC1" i="20"/>
  <c r="AD1" i="20"/>
  <c r="AE1" i="20"/>
  <c r="AF1" i="20"/>
  <c r="AG1" i="20"/>
  <c r="AH1" i="20"/>
  <c r="AI1" i="20"/>
  <c r="AJ1" i="20"/>
  <c r="AK1" i="20"/>
  <c r="AL1" i="20"/>
  <c r="AM1" i="20"/>
  <c r="AN1" i="20"/>
  <c r="AO1" i="20"/>
  <c r="AP1" i="20"/>
  <c r="AQ1" i="20"/>
  <c r="AR1" i="20"/>
  <c r="AS1" i="20"/>
  <c r="AT1" i="20"/>
  <c r="AU1" i="20"/>
  <c r="AV1" i="20"/>
  <c r="AW1" i="20"/>
  <c r="AX1" i="20"/>
  <c r="AY1" i="20"/>
  <c r="AZ1" i="20"/>
  <c r="BA1" i="20"/>
  <c r="BB1" i="20"/>
  <c r="BC1" i="20"/>
  <c r="BD1" i="20"/>
  <c r="BE1" i="20"/>
  <c r="BF1" i="20"/>
  <c r="BG1" i="20"/>
  <c r="BH1" i="20"/>
  <c r="BI1" i="20"/>
  <c r="BJ1" i="20"/>
  <c r="BK1" i="20"/>
  <c r="BL1" i="20"/>
  <c r="BM1" i="20"/>
  <c r="BN1" i="20"/>
  <c r="BO1" i="20"/>
  <c r="BP1" i="20"/>
  <c r="BQ1" i="20"/>
  <c r="BR1" i="20"/>
  <c r="BS1" i="20"/>
  <c r="BT1" i="20"/>
  <c r="BU1" i="20"/>
  <c r="BV1" i="20"/>
  <c r="BW1" i="20"/>
  <c r="BX1" i="20"/>
  <c r="BY1" i="20"/>
  <c r="BZ1" i="20"/>
  <c r="CA1" i="20"/>
  <c r="CB1" i="20"/>
  <c r="CC1" i="20"/>
  <c r="CD1" i="20"/>
  <c r="CE1" i="20"/>
  <c r="CF1" i="20"/>
  <c r="CG1" i="20"/>
  <c r="CH1" i="20"/>
  <c r="CI1" i="20"/>
  <c r="CJ1" i="20"/>
  <c r="CK1" i="20"/>
  <c r="CL1" i="20"/>
  <c r="CM1" i="20"/>
  <c r="CN1" i="20"/>
  <c r="CO1" i="20"/>
  <c r="CP1" i="20"/>
  <c r="CQ1" i="20"/>
  <c r="CR1" i="20"/>
  <c r="CS1" i="20"/>
  <c r="CT1" i="20"/>
  <c r="CU1" i="20"/>
  <c r="CV1" i="20"/>
  <c r="CW1" i="20"/>
  <c r="CX1" i="20"/>
  <c r="CY1" i="20"/>
  <c r="CZ1" i="20"/>
  <c r="DA1" i="20"/>
  <c r="DB1" i="20"/>
  <c r="DC1" i="20"/>
  <c r="DD1" i="20"/>
  <c r="DE1" i="20"/>
  <c r="DF1" i="20"/>
  <c r="DG1" i="20"/>
  <c r="DH1" i="20"/>
  <c r="DI1" i="20"/>
  <c r="DJ1" i="20"/>
  <c r="DK1" i="20"/>
  <c r="DL1" i="20"/>
  <c r="DM1" i="20"/>
  <c r="DN1" i="20"/>
  <c r="DO1" i="20"/>
  <c r="DP1" i="20"/>
  <c r="DQ1" i="20"/>
  <c r="DR1" i="20"/>
  <c r="DS1" i="20"/>
  <c r="DT1" i="20"/>
  <c r="DU1" i="20"/>
  <c r="DV1" i="20"/>
  <c r="DW1" i="20"/>
  <c r="DX1" i="20"/>
  <c r="DY1" i="20"/>
  <c r="DZ1" i="20"/>
  <c r="EA1" i="20"/>
  <c r="EB1" i="20"/>
  <c r="EC1" i="20"/>
  <c r="ED1" i="20"/>
  <c r="EE1" i="20"/>
  <c r="EF1" i="20"/>
  <c r="EG1" i="20"/>
  <c r="EH1" i="20"/>
  <c r="EI1" i="20"/>
  <c r="EJ1" i="20"/>
  <c r="EK1" i="20"/>
  <c r="EL1" i="20"/>
  <c r="EM1" i="20"/>
  <c r="EN1" i="20"/>
  <c r="EO1" i="20"/>
  <c r="EP1" i="20"/>
  <c r="EQ1" i="20"/>
  <c r="ER1" i="20"/>
  <c r="ES1" i="20"/>
  <c r="ET1" i="20"/>
  <c r="EU1" i="20"/>
  <c r="EV1" i="20"/>
  <c r="EW1" i="20"/>
  <c r="EX1" i="20"/>
  <c r="EY1" i="20"/>
  <c r="EZ1" i="20"/>
  <c r="FA1" i="20"/>
  <c r="FB1" i="20"/>
  <c r="FC1" i="20"/>
  <c r="FD1" i="20"/>
  <c r="FE1" i="20"/>
  <c r="FF1" i="20"/>
  <c r="FG1" i="20"/>
  <c r="FH1" i="20"/>
  <c r="FI1" i="20"/>
  <c r="FJ1" i="20"/>
  <c r="FK1" i="20"/>
  <c r="FL1" i="20"/>
  <c r="FM1" i="20"/>
  <c r="FN1" i="20"/>
  <c r="FO1" i="20"/>
  <c r="FP1" i="20"/>
  <c r="FQ1" i="20"/>
  <c r="FR1" i="20"/>
  <c r="FS1" i="20"/>
  <c r="FT1" i="20"/>
  <c r="FU1" i="20"/>
  <c r="FV1" i="20"/>
  <c r="FW1" i="20"/>
  <c r="FX1" i="20"/>
  <c r="FY1" i="20"/>
  <c r="FZ1" i="20"/>
  <c r="GA1" i="20"/>
  <c r="GB1" i="20"/>
  <c r="GC1" i="20"/>
  <c r="GD1" i="20"/>
  <c r="GE1" i="20"/>
  <c r="GF1" i="20"/>
  <c r="GG1" i="20"/>
  <c r="GH1" i="20"/>
  <c r="GI1" i="20"/>
  <c r="GJ1" i="20"/>
  <c r="GK1" i="20"/>
  <c r="GL1" i="20"/>
  <c r="GM1" i="20"/>
  <c r="GN1" i="20"/>
  <c r="GO1" i="20"/>
  <c r="GP1" i="20"/>
  <c r="GQ1" i="20"/>
  <c r="GR1" i="20"/>
  <c r="GS1" i="20"/>
  <c r="GT1" i="20"/>
  <c r="GU1" i="20"/>
  <c r="GV1" i="20"/>
  <c r="GW1" i="20"/>
  <c r="GX1" i="20"/>
  <c r="GY1" i="20"/>
  <c r="GZ1" i="20"/>
  <c r="HA1" i="20"/>
  <c r="HB1" i="20"/>
  <c r="HC1" i="20"/>
  <c r="HD1" i="20"/>
  <c r="HE1" i="20"/>
  <c r="HF1" i="20"/>
  <c r="HG1" i="20"/>
  <c r="HH1" i="20"/>
  <c r="HI1" i="20"/>
  <c r="HJ1" i="20"/>
  <c r="HK1" i="20"/>
  <c r="HL1" i="20"/>
  <c r="HM1" i="20"/>
  <c r="HN1" i="20"/>
  <c r="HO1" i="20"/>
  <c r="HP1" i="20"/>
  <c r="HQ1" i="20"/>
  <c r="HR1" i="20"/>
  <c r="HS1" i="20"/>
  <c r="HT1" i="20"/>
  <c r="HU1" i="20"/>
  <c r="HV1" i="20"/>
  <c r="HW1" i="20"/>
  <c r="HX1" i="20"/>
  <c r="HY1" i="20"/>
  <c r="HZ1" i="20"/>
  <c r="IA1" i="20"/>
  <c r="IB1" i="20"/>
  <c r="IC1" i="20"/>
  <c r="ID1" i="20"/>
  <c r="IE1" i="20"/>
  <c r="IF1" i="20"/>
  <c r="IG1" i="20"/>
  <c r="IH1" i="20"/>
  <c r="II1" i="20"/>
  <c r="IJ1" i="20"/>
  <c r="IK1" i="20"/>
  <c r="IL1" i="20"/>
  <c r="IM1" i="20"/>
  <c r="IN1" i="20"/>
  <c r="IO1" i="20"/>
  <c r="IP1" i="20"/>
  <c r="IQ1" i="20"/>
  <c r="IR1" i="20"/>
  <c r="IS1" i="20"/>
  <c r="IT1" i="20"/>
  <c r="IU1" i="20"/>
  <c r="IV1" i="20"/>
  <c r="L54" i="8"/>
  <c r="L53" i="8"/>
  <c r="B5" i="4"/>
  <c r="E33" i="4" s="1"/>
  <c r="G49" i="8"/>
  <c r="CG18" i="20"/>
  <c r="CE18" i="20"/>
  <c r="GJ68" i="20"/>
  <c r="AK34" i="20"/>
  <c r="AG34" i="20"/>
  <c r="Y32" i="20"/>
  <c r="HV42" i="20"/>
  <c r="AA32" i="20"/>
  <c r="AH34" i="20"/>
  <c r="AL34" i="20"/>
  <c r="HU42" i="20"/>
  <c r="M76" i="20"/>
  <c r="AM34" i="20"/>
  <c r="AI34" i="20"/>
  <c r="AS25" i="20"/>
  <c r="HW42" i="20"/>
  <c r="S32" i="20"/>
  <c r="W32" i="20"/>
  <c r="GI68" i="20"/>
  <c r="GC68" i="20"/>
  <c r="GB68" i="20"/>
  <c r="FY68" i="20"/>
  <c r="O17" i="20"/>
  <c r="AT25" i="20"/>
  <c r="U32" i="20"/>
  <c r="Z32" i="20"/>
  <c r="FZ68" i="20"/>
  <c r="GE68" i="20"/>
  <c r="GD68" i="20"/>
  <c r="J10" i="20"/>
  <c r="F40" i="20"/>
  <c r="K18" i="20"/>
  <c r="X32" i="20"/>
  <c r="J11" i="20"/>
  <c r="J12" i="20"/>
  <c r="BY18" i="20"/>
  <c r="BZ18" i="20"/>
  <c r="J13" i="20"/>
  <c r="CC18" i="20"/>
  <c r="CB18" i="20"/>
  <c r="CD18" i="20"/>
  <c r="Q32" i="20"/>
  <c r="L27" i="20"/>
  <c r="CA18" i="20"/>
  <c r="AQ25" i="20"/>
  <c r="AR25" i="20"/>
  <c r="FI13" i="20"/>
  <c r="HR42" i="20"/>
  <c r="FE13" i="20"/>
  <c r="HQ42" i="20"/>
  <c r="FF13" i="20"/>
  <c r="HS42" i="20"/>
  <c r="FH13" i="20"/>
  <c r="FG13" i="20"/>
  <c r="HT42" i="20"/>
  <c r="V32" i="20"/>
  <c r="F9" i="20"/>
  <c r="J49" i="4"/>
  <c r="I49" i="4"/>
  <c r="K33" i="4" l="1"/>
  <c r="E49" i="4"/>
  <c r="K17" i="4"/>
  <c r="H49" i="4"/>
  <c r="F17" i="4"/>
  <c r="F11" i="1"/>
  <c r="F13" i="1" s="1"/>
  <c r="H8" i="13" s="1"/>
  <c r="H10" i="13"/>
  <c r="E17" i="4"/>
  <c r="G17" i="4"/>
  <c r="F33" i="4"/>
  <c r="G33" i="4"/>
  <c r="I17" i="4"/>
  <c r="G49" i="4"/>
  <c r="H17" i="4"/>
  <c r="F49" i="4"/>
  <c r="K49" i="4"/>
  <c r="K9" i="4" s="1"/>
  <c r="H9" i="13" s="1"/>
  <c r="J17" i="4"/>
  <c r="J33" i="4"/>
  <c r="I33" i="4"/>
  <c r="H33" i="4"/>
  <c r="H9" i="4" s="1"/>
  <c r="E9" i="13" s="1"/>
  <c r="B9" i="20" s="1"/>
  <c r="H27" i="1"/>
  <c r="C8" i="13" s="1"/>
  <c r="E9" i="4"/>
  <c r="B9" i="13" s="1"/>
  <c r="E11" i="13"/>
  <c r="D8" i="13"/>
  <c r="B8" i="13"/>
  <c r="I9" i="4" l="1"/>
  <c r="F9" i="13" s="1"/>
  <c r="F9" i="4"/>
  <c r="C9" i="13" s="1"/>
  <c r="C11" i="13" s="1"/>
  <c r="G9" i="4"/>
  <c r="D9" i="13" s="1"/>
  <c r="A9" i="20" s="1"/>
  <c r="J9" i="4"/>
  <c r="G9" i="13" s="1"/>
  <c r="D9" i="20" s="1"/>
  <c r="E9" i="20"/>
  <c r="H11" i="13"/>
  <c r="IU8" i="20"/>
  <c r="B11" i="13"/>
  <c r="IV8" i="20"/>
  <c r="C9" i="20" l="1"/>
  <c r="F11" i="13"/>
  <c r="D11" i="13"/>
  <c r="G11" i="13"/>
</calcChain>
</file>

<file path=xl/sharedStrings.xml><?xml version="1.0" encoding="utf-8"?>
<sst xmlns="http://schemas.openxmlformats.org/spreadsheetml/2006/main" count="259" uniqueCount="124">
  <si>
    <t>PM</t>
  </si>
  <si>
    <t>CO</t>
  </si>
  <si>
    <t>Pollutant</t>
  </si>
  <si>
    <t>(ton/yr)</t>
  </si>
  <si>
    <t>VOC</t>
  </si>
  <si>
    <t>Natural Gas</t>
  </si>
  <si>
    <t>Blue values are results</t>
  </si>
  <si>
    <t>Purple values are pulled from other worksheet</t>
  </si>
  <si>
    <t>Y</t>
  </si>
  <si>
    <t>Facility Profile</t>
  </si>
  <si>
    <t>Fuels Used</t>
  </si>
  <si>
    <t>(Y or N)</t>
  </si>
  <si>
    <t>Natural Gas-</t>
  </si>
  <si>
    <t>(%)</t>
  </si>
  <si>
    <t>Directions -</t>
  </si>
  <si>
    <t>AAAAAH/l/sI=</t>
  </si>
  <si>
    <t>This spreadsheet helps estimate a facility's potential to emit. It is provided for the convenience of the permitted community. EPA does not guarantee the accuracy or appropriateness of this information. Emission factor sources are subject to revision or correction. It is the permittee's responsibility to verify the accuracy of the information. EPA is not liable for errors or omissions.</t>
  </si>
  <si>
    <t>(MMBtu/hr)</t>
  </si>
  <si>
    <t>Heat Input (MMBtu/hr)</t>
  </si>
  <si>
    <r>
      <t>PM</t>
    </r>
    <r>
      <rPr>
        <vertAlign val="subscript"/>
        <sz val="10"/>
        <rFont val="Arial"/>
        <family val="2"/>
      </rPr>
      <t>2.5</t>
    </r>
  </si>
  <si>
    <r>
      <t>PM</t>
    </r>
    <r>
      <rPr>
        <vertAlign val="subscript"/>
        <sz val="10"/>
        <rFont val="Arial"/>
        <family val="2"/>
      </rPr>
      <t>10</t>
    </r>
  </si>
  <si>
    <r>
      <t>SO</t>
    </r>
    <r>
      <rPr>
        <vertAlign val="subscript"/>
        <sz val="10"/>
        <rFont val="Arial"/>
        <family val="2"/>
      </rPr>
      <t>2</t>
    </r>
  </si>
  <si>
    <r>
      <t>NO</t>
    </r>
    <r>
      <rPr>
        <vertAlign val="subscript"/>
        <sz val="10"/>
        <rFont val="Arial"/>
        <family val="2"/>
      </rPr>
      <t>X</t>
    </r>
  </si>
  <si>
    <t>Propane-</t>
  </si>
  <si>
    <t xml:space="preserve"> </t>
  </si>
  <si>
    <t>Methodology</t>
  </si>
  <si>
    <t>Note:</t>
  </si>
  <si>
    <r>
      <t>PM</t>
    </r>
    <r>
      <rPr>
        <vertAlign val="subscript"/>
        <sz val="10"/>
        <rFont val="Arial"/>
        <family val="2"/>
      </rPr>
      <t>10</t>
    </r>
    <r>
      <rPr>
        <vertAlign val="superscript"/>
        <sz val="10"/>
        <rFont val="Arial"/>
        <family val="2"/>
      </rPr>
      <t>2</t>
    </r>
  </si>
  <si>
    <t>Total PTE</t>
  </si>
  <si>
    <t xml:space="preserve"> -</t>
  </si>
  <si>
    <t>Default = 15</t>
  </si>
  <si>
    <t>Fuel Type:</t>
  </si>
  <si>
    <t>Used:</t>
  </si>
  <si>
    <t>PTE (ton/yr)</t>
  </si>
  <si>
    <t>1. Emission factors are from AP-42, Chapter 1.4, Tables 1.4-1 and 1.4-2 (updated 07/98).</t>
  </si>
  <si>
    <r>
      <t>2. PM</t>
    </r>
    <r>
      <rPr>
        <vertAlign val="subscript"/>
        <sz val="9"/>
        <rFont val="Arial"/>
        <family val="2"/>
      </rPr>
      <t>10</t>
    </r>
    <r>
      <rPr>
        <sz val="9"/>
        <rFont val="Arial"/>
        <family val="2"/>
      </rPr>
      <t xml:space="preserve"> emission factor is condensable and filterable PM combined. PM emission factor is for filterable PM only.</t>
    </r>
  </si>
  <si>
    <r>
      <t>3. Assume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</si>
  <si>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PTE (ton/yr) = Heat Input (MMBtu/hr) x 1 MMSCF/1,020 MMBtu x EF (lb/MMSCF) x 8760 hr/yr x 1 ton/2000 lb</t>
  </si>
  <si>
    <r>
      <t>PM</t>
    </r>
    <r>
      <rPr>
        <vertAlign val="subscript"/>
        <sz val="10"/>
        <rFont val="Arial"/>
        <family val="2"/>
      </rPr>
      <t>2.5</t>
    </r>
    <r>
      <rPr>
        <vertAlign val="superscript"/>
        <sz val="10"/>
        <rFont val="Arial"/>
        <family val="2"/>
      </rPr>
      <t>3</t>
    </r>
  </si>
  <si>
    <r>
      <t>Emission Factor</t>
    </r>
    <r>
      <rPr>
        <vertAlign val="superscript"/>
        <sz val="10"/>
        <rFont val="Arial"/>
        <family val="2"/>
      </rPr>
      <t>1</t>
    </r>
    <r>
      <rPr>
        <sz val="10"/>
        <rFont val="Arial"/>
        <family val="2"/>
      </rPr>
      <t xml:space="preserve"> (lb/MMSCF)</t>
    </r>
  </si>
  <si>
    <t>Propane</t>
  </si>
  <si>
    <t>Sulfur Content:</t>
  </si>
  <si>
    <t>PTE (ton/yr) = Heat Input (MMBtu/hr) x 1 kgal/91.5 MMBtu x EF (lb/kgal) x 8760 hr/yr x 1 ton/2000 lb</t>
  </si>
  <si>
    <t>Worst Case PTE (ton/yr)</t>
  </si>
  <si>
    <r>
      <t>Emission Factor</t>
    </r>
    <r>
      <rPr>
        <vertAlign val="superscript"/>
        <sz val="10"/>
        <rFont val="Arial"/>
        <family val="2"/>
      </rPr>
      <t>1</t>
    </r>
    <r>
      <rPr>
        <sz val="10"/>
        <rFont val="Arial"/>
        <family val="2"/>
      </rPr>
      <t xml:space="preserve"> (lbs/kgal)</t>
    </r>
  </si>
  <si>
    <r>
      <t>Emission Factor</t>
    </r>
    <r>
      <rPr>
        <vertAlign val="superscript"/>
        <sz val="10"/>
        <rFont val="Arial"/>
        <family val="2"/>
      </rPr>
      <t>1</t>
    </r>
    <r>
      <rPr>
        <sz val="10"/>
        <rFont val="Arial"/>
        <family val="2"/>
      </rPr>
      <t xml:space="preserve"> (lb/kgal)</t>
    </r>
  </si>
  <si>
    <t>(lb/gal)</t>
  </si>
  <si>
    <t>METHODOLOGY</t>
  </si>
  <si>
    <t>Max. VOC Content</t>
  </si>
  <si>
    <t>Density</t>
  </si>
  <si>
    <t>Butan-</t>
  </si>
  <si>
    <t>Butane</t>
  </si>
  <si>
    <t>PTE (ton/yr) = Heat Input (MMBtu/hr) x 1 kgal/102 MMBtu x EF (lb/kgal) x 8760 hr/yr x 1 ton/2000 lb</t>
  </si>
  <si>
    <t>Facility Total PTE (ton/yr)</t>
  </si>
  <si>
    <t>Coating Solid Content</t>
  </si>
  <si>
    <t>Transfer Efficiency</t>
  </si>
  <si>
    <t>Transfer Efficiency-</t>
  </si>
  <si>
    <t>45% for airless spray;</t>
  </si>
  <si>
    <t>60% for manual electrostatic spray;</t>
  </si>
  <si>
    <t>75% for HVLP guns;</t>
  </si>
  <si>
    <t>90% for rotating head automatic electrostatic spray;</t>
  </si>
  <si>
    <t>95% for electrodeposition, powder</t>
  </si>
  <si>
    <t>(select the lowest applicable</t>
  </si>
  <si>
    <t>one)</t>
  </si>
  <si>
    <t>Total Heating Unit Capacity -</t>
  </si>
  <si>
    <t>Emissions from Heater(s) - Criteria Pollutants</t>
  </si>
  <si>
    <t>Heater(s)</t>
  </si>
  <si>
    <t>40% for air atomized spray;</t>
  </si>
  <si>
    <t xml:space="preserve">Enter the facility's information below. 
For heating fuels used, write the letter "Y" or "N" next to each fuel type to indicate that the facility does or does not burn that type of fuel. </t>
  </si>
  <si>
    <t xml:space="preserve">The facility wide emissions will be displayed on the "Output" sheet. 
Excel chooses the correct criteria pollutant emission rate depending on the type of fuels used.  </t>
  </si>
  <si>
    <r>
      <t>Sulfur (gr/100 ft</t>
    </r>
    <r>
      <rPr>
        <vertAlign val="superscript"/>
        <sz val="10"/>
        <rFont val="Arial"/>
        <family val="2"/>
      </rPr>
      <t>3</t>
    </r>
    <r>
      <rPr>
        <sz val="10"/>
        <rFont val="Arial"/>
        <family val="2"/>
      </rPr>
      <t>)</t>
    </r>
  </si>
  <si>
    <r>
      <t>gr/100 ft</t>
    </r>
    <r>
      <rPr>
        <vertAlign val="superscript"/>
        <sz val="10"/>
        <rFont val="Arial"/>
        <family val="2"/>
      </rPr>
      <t>3</t>
    </r>
  </si>
  <si>
    <t>1. Emission factors are from AP-42, Chapter 1.5, Table 1.5.1 (updated 07/08).</t>
  </si>
  <si>
    <t>Max. Usage</t>
  </si>
  <si>
    <t>(gal/car)</t>
  </si>
  <si>
    <t>Max. Capacity</t>
  </si>
  <si>
    <t>(car/day)</t>
  </si>
  <si>
    <t>PTE of VOC</t>
  </si>
  <si>
    <t>Emissions from Surface Coating Operations</t>
  </si>
  <si>
    <t>Worst Case Solvent</t>
  </si>
  <si>
    <t>Total</t>
  </si>
  <si>
    <t>(cars/day)</t>
  </si>
  <si>
    <t xml:space="preserve">Max. Coating Usage - </t>
  </si>
  <si>
    <t xml:space="preserve">Worst Case Coating Density - </t>
  </si>
  <si>
    <t>Worst Case VOC Content of the Coating -</t>
  </si>
  <si>
    <t>If using site-specific information, provide a copy of MSDS for this coating.</t>
  </si>
  <si>
    <t xml:space="preserve">Max. Solvent Usage - </t>
  </si>
  <si>
    <t xml:space="preserve">Worst Case Solvent Density - </t>
  </si>
  <si>
    <t>Worst Case VOC Content of the Solvent -</t>
  </si>
  <si>
    <t xml:space="preserve">Max. Capacity - </t>
  </si>
  <si>
    <t>Coating Information -</t>
  </si>
  <si>
    <t>Solvent Information -</t>
  </si>
  <si>
    <t>Subject to NESHAP, Subpart HHHHHH?</t>
  </si>
  <si>
    <t>Type of PM Control Equipment-</t>
  </si>
  <si>
    <t>Filter</t>
  </si>
  <si>
    <t>PTE of VOC:</t>
  </si>
  <si>
    <t>PTE of PM/PM10/PM2.5</t>
  </si>
  <si>
    <t>PTE of VOC (ton/yr) = Max. Usage (gal/car) x Max. Capacity (car/day) x 365 day/yr x Density (lb/gal) x VOC Content (%) x 1 ton/2000 lb</t>
  </si>
  <si>
    <t>Surface Coating Operations</t>
  </si>
  <si>
    <t>Worst Case Coating Solid Content -</t>
  </si>
  <si>
    <t>PM Control Efficiency =</t>
  </si>
  <si>
    <t>PTE of PM/PM10/PM2.5 (ton/yr) = Max. Usage (gal/car) x Max. Capacity (car/day) x 365 day/yr x Density (lb/gal) x Coating Solid Content (%) x (1-Transfer Efficiency) x (1-Control Efficiency) x 1 ton/2000 lb</t>
  </si>
  <si>
    <t>Control Efficiency</t>
  </si>
  <si>
    <t>(If not subject to this NESHAP, control equipment is not counted while calculating PTE, i.e., control Efficiency = 0%)</t>
  </si>
  <si>
    <r>
      <t>PTE of PM/PM</t>
    </r>
    <r>
      <rPr>
        <vertAlign val="subscript"/>
        <sz val="10"/>
        <rFont val="Arial"/>
        <family val="2"/>
      </rPr>
      <t>10</t>
    </r>
    <r>
      <rPr>
        <sz val="10"/>
        <rFont val="Arial"/>
        <family val="2"/>
      </rPr>
      <t>/PM</t>
    </r>
    <r>
      <rPr>
        <vertAlign val="subscript"/>
        <sz val="10"/>
        <rFont val="Arial"/>
        <family val="2"/>
      </rPr>
      <t>2.5</t>
    </r>
  </si>
  <si>
    <t>Worst Case Coating for PM</t>
  </si>
  <si>
    <t>Worst Case Coating for VOC</t>
  </si>
  <si>
    <t>Worst Case Coating for VOC Emissions:</t>
  </si>
  <si>
    <t>Worst Case Coating for PM Emissions:</t>
  </si>
  <si>
    <t>Metal Degreasing Information -</t>
  </si>
  <si>
    <t>Emissions from Batch-loaded Cold Cleaning Degreasers</t>
  </si>
  <si>
    <t>Cold Degreasers</t>
  </si>
  <si>
    <t>-</t>
  </si>
  <si>
    <t>Provide an MSDS for each solvent used</t>
  </si>
  <si>
    <t>Solvent Density</t>
  </si>
  <si>
    <t>lb/gal</t>
  </si>
  <si>
    <t>Annual solvent makeup</t>
  </si>
  <si>
    <t>gallons</t>
  </si>
  <si>
    <t>Solvent makeup is gross usage minus waste disposal</t>
  </si>
  <si>
    <t>Annual Makeup</t>
  </si>
  <si>
    <t>Note: Emissions based on a mass balance, where annual makeup is the difference between the gallons of solvent used and the gallons of solvent removed as waste</t>
  </si>
  <si>
    <t>85% for flow coat, dip coat, and non rotational automatic electrostatic spray;</t>
  </si>
  <si>
    <t>Process/Unit</t>
  </si>
  <si>
    <t>Potential To Emit Calculator for Auto Body Repair and Miscellaneous Surface Coating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</si>
</sst>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
    <numFmt numFmtId="166" formatCode="#,##0.0"/>
    <numFmt numFmtId="167" formatCode="0.00000"/>
    <numFmt numFmtId="168" formatCode="0.0%"/>
  </numFmts>
  <fonts count="24">
    <font>
      <sz val="10"/>
      <name val="Arial"/>
    </font>
    <font>
      <sz val="10"/>
      <name val="Arial"/>
    </font>
    <font>
      <b/>
      <sz val="10"/>
      <name val="Arial"/>
      <family val="2"/>
    </font>
    <font>
      <sz val="8"/>
      <name val="Arial"/>
      <family val="2"/>
    </font>
    <font>
      <sz val="10"/>
      <color indexed="10"/>
      <name val="Arial"/>
      <family val="2"/>
    </font>
    <font>
      <sz val="10"/>
      <color indexed="12"/>
      <name val="Arial"/>
      <family val="2"/>
    </font>
    <font>
      <sz val="10"/>
      <name val="Arial"/>
      <family val="2"/>
    </font>
    <font>
      <sz val="10"/>
      <color indexed="20"/>
      <name val="Arial"/>
      <family val="2"/>
    </font>
    <font>
      <b/>
      <u/>
      <sz val="10"/>
      <name val="Arial"/>
      <family val="2"/>
    </font>
    <font>
      <sz val="10"/>
      <color indexed="14"/>
      <name val="Arial"/>
      <family val="2"/>
    </font>
    <font>
      <b/>
      <sz val="16"/>
      <name val="Arial"/>
      <family val="2"/>
    </font>
    <font>
      <vertAlign val="subscript"/>
      <sz val="10"/>
      <name val="Arial"/>
      <family val="2"/>
    </font>
    <font>
      <b/>
      <sz val="12"/>
      <name val="Arial"/>
      <family val="2"/>
    </font>
    <font>
      <b/>
      <sz val="9"/>
      <name val="Arial"/>
      <family val="2"/>
    </font>
    <font>
      <sz val="9"/>
      <name val="Arial"/>
      <family val="2"/>
    </font>
    <font>
      <vertAlign val="superscript"/>
      <sz val="10"/>
      <name val="Arial"/>
      <family val="2"/>
    </font>
    <font>
      <vertAlign val="subscript"/>
      <sz val="9"/>
      <name val="Arial"/>
      <family val="2"/>
    </font>
    <font>
      <sz val="9"/>
      <name val="Arial MT"/>
      <family val="2"/>
    </font>
    <font>
      <sz val="10"/>
      <name val="Arial MT"/>
      <family val="2"/>
    </font>
    <font>
      <sz val="10"/>
      <color rgb="FF7030A0"/>
      <name val="Arial"/>
      <family val="2"/>
    </font>
    <font>
      <sz val="10"/>
      <color rgb="FFFF0000"/>
      <name val="Arial"/>
      <family val="2"/>
    </font>
    <font>
      <b/>
      <sz val="10"/>
      <color rgb="FF0070C0"/>
      <name val="Arial"/>
      <family val="2"/>
    </font>
    <font>
      <sz val="10"/>
      <color rgb="FF0070C0"/>
      <name val="Arial"/>
      <family val="2"/>
    </font>
    <font>
      <sz val="10"/>
      <color theme="7" tint="-0.249977111117893"/>
      <name val="Arial"/>
      <family val="2"/>
    </font>
  </fonts>
  <fills count="3">
    <fill>
      <patternFill patternType="none"/>
    </fill>
    <fill>
      <patternFill patternType="gray125"/>
    </fill>
    <fill>
      <patternFill patternType="solid">
        <fgColor indexed="9"/>
        <bgColor indexed="64"/>
      </patternFill>
    </fill>
  </fills>
  <borders count="68">
    <border>
      <left/>
      <right/>
      <top/>
      <bottom/>
      <diagonal/>
    </border>
    <border>
      <left/>
      <right/>
      <top style="thick">
        <color indexed="64"/>
      </top>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style="thick">
        <color indexed="64"/>
      </left>
      <right/>
      <top style="thick">
        <color indexed="64"/>
      </top>
      <bottom/>
      <diagonal/>
    </border>
    <border>
      <left/>
      <right/>
      <top/>
      <bottom style="medium">
        <color indexed="64"/>
      </bottom>
      <diagonal/>
    </border>
    <border>
      <left style="thick">
        <color indexed="64"/>
      </left>
      <right/>
      <top/>
      <bottom style="thick">
        <color indexed="64"/>
      </bottom>
      <diagonal/>
    </border>
    <border>
      <left style="thin">
        <color indexed="64"/>
      </left>
      <right style="thin">
        <color indexed="64"/>
      </right>
      <top style="medium">
        <color indexed="64"/>
      </top>
      <bottom style="thin">
        <color indexed="64"/>
      </bottom>
      <diagonal/>
    </border>
    <border>
      <left style="thick">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top style="medium">
        <color indexed="64"/>
      </top>
      <bottom style="thin">
        <color indexed="64"/>
      </bottom>
      <diagonal/>
    </border>
    <border>
      <left style="thick">
        <color indexed="64"/>
      </left>
      <right/>
      <top style="double">
        <color indexed="64"/>
      </top>
      <bottom style="thick">
        <color indexed="64"/>
      </bottom>
      <diagonal/>
    </border>
    <border>
      <left style="medium">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right/>
      <top/>
      <bottom style="thick">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ck">
        <color indexed="64"/>
      </right>
      <top/>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medium">
        <color indexed="64"/>
      </left>
      <right/>
      <top style="thick">
        <color indexed="64"/>
      </top>
      <bottom/>
      <diagonal/>
    </border>
    <border>
      <left style="medium">
        <color indexed="64"/>
      </left>
      <right style="thin">
        <color indexed="64"/>
      </right>
      <top/>
      <bottom/>
      <diagonal/>
    </border>
    <border>
      <left style="medium">
        <color indexed="64"/>
      </left>
      <right style="thin">
        <color indexed="64"/>
      </right>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style="dashed">
        <color indexed="64"/>
      </right>
      <top style="thick">
        <color indexed="64"/>
      </top>
      <bottom style="thin">
        <color indexed="64"/>
      </bottom>
      <diagonal/>
    </border>
    <border>
      <left style="dashed">
        <color indexed="64"/>
      </left>
      <right style="dashed">
        <color indexed="64"/>
      </right>
      <top style="thick">
        <color indexed="64"/>
      </top>
      <bottom style="thin">
        <color indexed="64"/>
      </bottom>
      <diagonal/>
    </border>
    <border>
      <left style="dashed">
        <color indexed="64"/>
      </left>
      <right style="thick">
        <color indexed="64"/>
      </right>
      <top style="thick">
        <color indexed="64"/>
      </top>
      <bottom style="thin">
        <color indexed="64"/>
      </bottom>
      <diagonal/>
    </border>
    <border>
      <left style="thick">
        <color indexed="64"/>
      </left>
      <right style="dashed">
        <color indexed="64"/>
      </right>
      <top style="thin">
        <color indexed="64"/>
      </top>
      <bottom style="thick">
        <color indexed="64"/>
      </bottom>
      <diagonal/>
    </border>
    <border>
      <left style="dashed">
        <color indexed="64"/>
      </left>
      <right style="dashed">
        <color indexed="64"/>
      </right>
      <top style="thin">
        <color indexed="64"/>
      </top>
      <bottom style="thick">
        <color indexed="64"/>
      </bottom>
      <diagonal/>
    </border>
    <border>
      <left style="dashed">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n">
        <color indexed="8"/>
      </left>
      <right style="thin">
        <color indexed="8"/>
      </right>
      <top style="thick">
        <color indexed="8"/>
      </top>
      <bottom/>
      <diagonal/>
    </border>
    <border>
      <left style="thin">
        <color indexed="8"/>
      </left>
      <right style="thin">
        <color indexed="8"/>
      </right>
      <top/>
      <bottom/>
      <diagonal/>
    </border>
    <border>
      <left style="thin">
        <color indexed="8"/>
      </left>
      <right style="thin">
        <color indexed="8"/>
      </right>
      <top style="medium">
        <color indexed="8"/>
      </top>
      <bottom style="thick">
        <color indexed="8"/>
      </bottom>
      <diagonal/>
    </border>
    <border>
      <left style="thick">
        <color indexed="8"/>
      </left>
      <right/>
      <top style="thick">
        <color indexed="8"/>
      </top>
      <bottom/>
      <diagonal/>
    </border>
    <border>
      <left style="thick">
        <color indexed="8"/>
      </left>
      <right/>
      <top/>
      <bottom/>
      <diagonal/>
    </border>
    <border>
      <left style="medium">
        <color indexed="8"/>
      </left>
      <right/>
      <top style="medium">
        <color indexed="8"/>
      </top>
      <bottom style="thick">
        <color indexed="8"/>
      </bottom>
      <diagonal/>
    </border>
    <border>
      <left style="medium">
        <color indexed="8"/>
      </left>
      <right style="thin">
        <color indexed="8"/>
      </right>
      <top style="thick">
        <color indexed="8"/>
      </top>
      <bottom/>
      <diagonal/>
    </border>
    <border>
      <left style="thin">
        <color indexed="8"/>
      </left>
      <right style="medium">
        <color indexed="8"/>
      </right>
      <top style="thick">
        <color indexed="8"/>
      </top>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style="thin">
        <color indexed="8"/>
      </right>
      <top style="medium">
        <color indexed="8"/>
      </top>
      <bottom style="thick">
        <color indexed="8"/>
      </bottom>
      <diagonal/>
    </border>
    <border>
      <left style="thin">
        <color indexed="8"/>
      </left>
      <right style="medium">
        <color indexed="8"/>
      </right>
      <top style="medium">
        <color indexed="8"/>
      </top>
      <bottom style="thick">
        <color indexed="8"/>
      </bottom>
      <diagonal/>
    </border>
    <border>
      <left style="medium">
        <color indexed="64"/>
      </left>
      <right style="thin">
        <color indexed="64"/>
      </right>
      <top style="medium">
        <color indexed="64"/>
      </top>
      <bottom style="thin">
        <color indexed="64"/>
      </bottom>
      <diagonal/>
    </border>
    <border>
      <left style="medium">
        <color indexed="8"/>
      </left>
      <right style="thick">
        <color indexed="8"/>
      </right>
      <top style="thick">
        <color indexed="8"/>
      </top>
      <bottom/>
      <diagonal/>
    </border>
    <border>
      <left style="medium">
        <color indexed="8"/>
      </left>
      <right style="thick">
        <color indexed="8"/>
      </right>
      <top/>
      <bottom/>
      <diagonal/>
    </border>
    <border>
      <left style="medium">
        <color indexed="8"/>
      </left>
      <right style="thick">
        <color indexed="8"/>
      </right>
      <top style="medium">
        <color indexed="8"/>
      </top>
      <bottom style="thick">
        <color indexed="8"/>
      </bottom>
      <diagonal/>
    </border>
    <border>
      <left/>
      <right style="thick">
        <color indexed="8"/>
      </right>
      <top style="thick">
        <color indexed="8"/>
      </top>
      <bottom/>
      <diagonal/>
    </border>
    <border>
      <left/>
      <right style="thick">
        <color indexed="8"/>
      </right>
      <top/>
      <bottom/>
      <diagonal/>
    </border>
    <border>
      <left/>
      <right style="thick">
        <color indexed="8"/>
      </right>
      <top style="medium">
        <color indexed="8"/>
      </top>
      <bottom style="thick">
        <color indexed="8"/>
      </bottom>
      <diagonal/>
    </border>
    <border>
      <left style="medium">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thick">
        <color indexed="8"/>
      </right>
      <top style="medium">
        <color indexed="8"/>
      </top>
      <bottom style="medium">
        <color indexed="8"/>
      </bottom>
      <diagonal/>
    </border>
    <border>
      <left style="thin">
        <color indexed="64"/>
      </left>
      <right style="thick">
        <color indexed="64"/>
      </right>
      <top style="thick">
        <color indexed="64"/>
      </top>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double">
        <color indexed="64"/>
      </top>
      <bottom style="thick">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0" fontId="2" fillId="0" borderId="0" xfId="0" applyFont="1"/>
    <xf numFmtId="0" fontId="5" fillId="0" borderId="0" xfId="0" applyFont="1"/>
    <xf numFmtId="0" fontId="0" fillId="0" borderId="0" xfId="0" applyAlignment="1">
      <alignment horizontal="right"/>
    </xf>
    <xf numFmtId="0" fontId="6" fillId="0" borderId="0" xfId="0" applyFont="1"/>
    <xf numFmtId="0" fontId="0" fillId="0" borderId="1" xfId="0" applyBorder="1"/>
    <xf numFmtId="0" fontId="7" fillId="0" borderId="0" xfId="0" applyFont="1"/>
    <xf numFmtId="0" fontId="0" fillId="0" borderId="0" xfId="0" applyBorder="1"/>
    <xf numFmtId="0" fontId="0" fillId="0" borderId="2" xfId="0" applyBorder="1"/>
    <xf numFmtId="0" fontId="0" fillId="0" borderId="3" xfId="0" applyBorder="1" applyAlignment="1">
      <alignment horizontal="right"/>
    </xf>
    <xf numFmtId="0" fontId="0" fillId="0" borderId="3" xfId="0" applyBorder="1" applyAlignment="1">
      <alignment horizontal="center"/>
    </xf>
    <xf numFmtId="0" fontId="0" fillId="0" borderId="4" xfId="0" applyBorder="1"/>
    <xf numFmtId="0" fontId="4" fillId="0" borderId="0" xfId="0" applyFont="1" applyBorder="1" applyAlignment="1">
      <alignment horizontal="center"/>
    </xf>
    <xf numFmtId="3" fontId="4" fillId="0" borderId="0" xfId="0" applyNumberFormat="1" applyFont="1" applyBorder="1" applyAlignment="1">
      <alignment horizontal="center"/>
    </xf>
    <xf numFmtId="1" fontId="7" fillId="0" borderId="0" xfId="0" applyNumberFormat="1" applyFont="1"/>
    <xf numFmtId="0" fontId="8" fillId="0" borderId="0" xfId="0" applyFont="1"/>
    <xf numFmtId="0" fontId="9" fillId="0" borderId="2" xfId="0" applyFont="1" applyBorder="1"/>
    <xf numFmtId="0" fontId="0" fillId="0" borderId="0" xfId="0" applyNumberFormat="1" applyAlignment="1">
      <alignment horizontal="left" vertical="top" wrapText="1"/>
    </xf>
    <xf numFmtId="165" fontId="4" fillId="0" borderId="0" xfId="0" applyNumberFormat="1" applyFont="1" applyBorder="1" applyAlignment="1">
      <alignment horizontal="center"/>
    </xf>
    <xf numFmtId="0" fontId="6" fillId="0" borderId="5" xfId="0" applyFont="1" applyBorder="1"/>
    <xf numFmtId="0" fontId="6" fillId="0" borderId="3" xfId="0" applyFont="1" applyBorder="1" applyAlignment="1">
      <alignment horizontal="right"/>
    </xf>
    <xf numFmtId="0" fontId="6" fillId="0" borderId="0" xfId="0" applyFont="1" applyBorder="1"/>
    <xf numFmtId="0" fontId="6" fillId="0" borderId="2" xfId="0" applyFont="1" applyBorder="1"/>
    <xf numFmtId="0" fontId="10" fillId="0" borderId="0" xfId="0" applyFont="1" applyAlignment="1"/>
    <xf numFmtId="14" fontId="0" fillId="0" borderId="0" xfId="0" applyNumberFormat="1" applyAlignment="1"/>
    <xf numFmtId="0" fontId="19" fillId="0" borderId="0" xfId="0" applyFont="1"/>
    <xf numFmtId="0" fontId="6" fillId="0" borderId="3" xfId="0" applyFont="1" applyBorder="1"/>
    <xf numFmtId="14" fontId="20" fillId="0" borderId="0" xfId="0" applyNumberFormat="1" applyFont="1" applyAlignment="1">
      <alignment horizontal="left" vertical="top" wrapText="1"/>
    </xf>
    <xf numFmtId="0" fontId="2" fillId="0" borderId="3" xfId="0" applyFont="1" applyBorder="1" applyAlignment="1">
      <alignment horizontal="right"/>
    </xf>
    <xf numFmtId="0" fontId="0" fillId="0" borderId="3" xfId="0" applyFont="1" applyFill="1" applyBorder="1" applyAlignment="1">
      <alignment horizontal="right"/>
    </xf>
    <xf numFmtId="0" fontId="6" fillId="0" borderId="0" xfId="0" applyFont="1" applyFill="1" applyBorder="1"/>
    <xf numFmtId="0" fontId="12" fillId="0" borderId="0" xfId="0" applyFont="1"/>
    <xf numFmtId="0" fontId="13" fillId="0" borderId="0" xfId="0" applyFont="1"/>
    <xf numFmtId="0" fontId="14" fillId="0" borderId="0" xfId="0" applyFont="1"/>
    <xf numFmtId="0" fontId="6" fillId="0" borderId="6" xfId="0" applyFont="1" applyBorder="1" applyAlignment="1">
      <alignment horizontal="center"/>
    </xf>
    <xf numFmtId="0" fontId="6" fillId="0" borderId="7" xfId="0" applyFont="1" applyBorder="1"/>
    <xf numFmtId="0" fontId="6" fillId="2" borderId="8" xfId="0" applyFont="1" applyFill="1" applyBorder="1" applyAlignment="1">
      <alignment horizontal="center"/>
    </xf>
    <xf numFmtId="0" fontId="6" fillId="0" borderId="9" xfId="0" applyFont="1" applyFill="1" applyBorder="1"/>
    <xf numFmtId="2" fontId="0" fillId="0" borderId="10" xfId="0" applyNumberFormat="1" applyBorder="1" applyAlignment="1">
      <alignment horizontal="center"/>
    </xf>
    <xf numFmtId="2" fontId="0" fillId="0" borderId="11" xfId="0" applyNumberFormat="1" applyBorder="1" applyAlignment="1">
      <alignment horizontal="center"/>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0" borderId="14" xfId="0" applyFont="1" applyBorder="1"/>
    <xf numFmtId="0" fontId="6" fillId="0" borderId="15" xfId="0" applyFont="1" applyFill="1" applyBorder="1"/>
    <xf numFmtId="2" fontId="2" fillId="0" borderId="16" xfId="0" applyNumberFormat="1" applyFont="1" applyBorder="1" applyAlignment="1">
      <alignment horizontal="center"/>
    </xf>
    <xf numFmtId="2" fontId="2" fillId="0" borderId="17" xfId="0" applyNumberFormat="1" applyFont="1" applyBorder="1" applyAlignment="1">
      <alignment horizontal="center"/>
    </xf>
    <xf numFmtId="0" fontId="0" fillId="0" borderId="7" xfId="0" applyBorder="1" applyAlignment="1">
      <alignment horizontal="right"/>
    </xf>
    <xf numFmtId="0" fontId="6" fillId="0" borderId="18" xfId="0" applyFont="1" applyBorder="1"/>
    <xf numFmtId="2" fontId="6" fillId="2" borderId="8" xfId="0" applyNumberFormat="1" applyFont="1" applyFill="1" applyBorder="1" applyAlignment="1">
      <alignment horizontal="center"/>
    </xf>
    <xf numFmtId="0" fontId="14" fillId="0" borderId="0" xfId="0" applyFont="1" applyBorder="1"/>
    <xf numFmtId="0" fontId="13" fillId="0" borderId="0" xfId="0" applyFont="1" applyBorder="1"/>
    <xf numFmtId="0" fontId="0" fillId="0" borderId="0" xfId="0" applyFont="1" applyFill="1" applyBorder="1" applyAlignment="1">
      <alignment horizontal="center"/>
    </xf>
    <xf numFmtId="165" fontId="14" fillId="0" borderId="0" xfId="0" applyNumberFormat="1" applyFont="1" applyBorder="1" applyAlignment="1">
      <alignment horizontal="center"/>
    </xf>
    <xf numFmtId="0" fontId="14" fillId="0" borderId="0"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2" fillId="0" borderId="0" xfId="0" applyFont="1" applyBorder="1"/>
    <xf numFmtId="0" fontId="6" fillId="2" borderId="11" xfId="0" applyFont="1" applyFill="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6" fillId="0" borderId="23" xfId="0" applyFont="1" applyBorder="1" applyAlignment="1">
      <alignment horizontal="center"/>
    </xf>
    <xf numFmtId="0" fontId="6" fillId="0" borderId="24" xfId="0" applyFont="1" applyBorder="1" applyAlignment="1">
      <alignment horizontal="center"/>
    </xf>
    <xf numFmtId="0" fontId="14" fillId="0" borderId="5" xfId="0" applyFont="1" applyBorder="1" applyAlignment="1">
      <alignment horizontal="center"/>
    </xf>
    <xf numFmtId="0" fontId="14" fillId="0" borderId="1" xfId="0" applyFont="1" applyBorder="1" applyAlignment="1">
      <alignment horizontal="center"/>
    </xf>
    <xf numFmtId="0" fontId="14" fillId="0" borderId="25" xfId="0" applyFont="1" applyBorder="1" applyAlignment="1">
      <alignment horizontal="center"/>
    </xf>
    <xf numFmtId="0" fontId="6" fillId="0" borderId="26" xfId="0" applyFont="1" applyBorder="1" applyAlignment="1">
      <alignment horizontal="center"/>
    </xf>
    <xf numFmtId="165" fontId="6" fillId="0" borderId="27" xfId="0" applyNumberFormat="1" applyFont="1" applyBorder="1" applyAlignment="1">
      <alignment horizontal="center"/>
    </xf>
    <xf numFmtId="0" fontId="14" fillId="0" borderId="4" xfId="0" applyFont="1" applyBorder="1"/>
    <xf numFmtId="0" fontId="6" fillId="2" borderId="10" xfId="0" applyFont="1" applyFill="1" applyBorder="1" applyAlignment="1">
      <alignment horizontal="center"/>
    </xf>
    <xf numFmtId="0" fontId="6" fillId="2" borderId="28" xfId="0" applyFont="1" applyFill="1" applyBorder="1" applyAlignment="1">
      <alignment horizontal="center"/>
    </xf>
    <xf numFmtId="0" fontId="6" fillId="0" borderId="29" xfId="0" applyFont="1" applyBorder="1"/>
    <xf numFmtId="0" fontId="6" fillId="0" borderId="6" xfId="0" applyFont="1" applyBorder="1"/>
    <xf numFmtId="0" fontId="6" fillId="0" borderId="30" xfId="0" applyFont="1" applyBorder="1" applyAlignment="1">
      <alignment horizontal="center"/>
    </xf>
    <xf numFmtId="0" fontId="6" fillId="0" borderId="31" xfId="0" applyFont="1" applyBorder="1" applyAlignment="1">
      <alignment horizontal="center"/>
    </xf>
    <xf numFmtId="0" fontId="6" fillId="0" borderId="32" xfId="0" applyFont="1" applyBorder="1" applyAlignment="1">
      <alignment horizontal="center"/>
    </xf>
    <xf numFmtId="165" fontId="6" fillId="0" borderId="33" xfId="0" applyNumberFormat="1" applyFont="1" applyBorder="1" applyAlignment="1">
      <alignment horizontal="center"/>
    </xf>
    <xf numFmtId="2" fontId="19" fillId="0" borderId="0" xfId="0" applyNumberFormat="1" applyFont="1"/>
    <xf numFmtId="0" fontId="6" fillId="2" borderId="34" xfId="0" applyFont="1" applyFill="1" applyBorder="1" applyAlignment="1">
      <alignment horizontal="center"/>
    </xf>
    <xf numFmtId="0" fontId="6" fillId="2" borderId="35" xfId="0" applyFont="1" applyFill="1" applyBorder="1" applyAlignment="1">
      <alignment horizontal="center"/>
    </xf>
    <xf numFmtId="0" fontId="6" fillId="2" borderId="36" xfId="0" applyFont="1" applyFill="1" applyBorder="1" applyAlignment="1">
      <alignment horizontal="center"/>
    </xf>
    <xf numFmtId="2" fontId="21" fillId="0" borderId="26" xfId="0" applyNumberFormat="1" applyFont="1" applyBorder="1" applyAlignment="1">
      <alignment horizontal="center"/>
    </xf>
    <xf numFmtId="2" fontId="21" fillId="0" borderId="19" xfId="0" applyNumberFormat="1" applyFont="1" applyBorder="1" applyAlignment="1">
      <alignment horizontal="center"/>
    </xf>
    <xf numFmtId="2" fontId="21" fillId="0" borderId="21" xfId="0" applyNumberFormat="1" applyFont="1" applyBorder="1" applyAlignment="1">
      <alignment horizontal="center"/>
    </xf>
    <xf numFmtId="2" fontId="21" fillId="0" borderId="37" xfId="0" applyNumberFormat="1" applyFont="1" applyBorder="1" applyAlignment="1">
      <alignment horizontal="center"/>
    </xf>
    <xf numFmtId="2" fontId="21" fillId="0" borderId="38" xfId="0" applyNumberFormat="1" applyFont="1" applyBorder="1" applyAlignment="1">
      <alignment horizontal="center"/>
    </xf>
    <xf numFmtId="2" fontId="21" fillId="0" borderId="39" xfId="0" applyNumberFormat="1" applyFont="1" applyBorder="1" applyAlignment="1">
      <alignment horizontal="center"/>
    </xf>
    <xf numFmtId="4" fontId="4" fillId="0" borderId="0" xfId="0" applyNumberFormat="1" applyFont="1" applyBorder="1" applyAlignment="1">
      <alignment horizontal="center"/>
    </xf>
    <xf numFmtId="9" fontId="4" fillId="0" borderId="0" xfId="1" applyFont="1" applyBorder="1" applyAlignment="1">
      <alignment horizontal="center"/>
    </xf>
    <xf numFmtId="0" fontId="4" fillId="0" borderId="18" xfId="0" applyFont="1" applyBorder="1" applyAlignment="1">
      <alignment horizontal="center"/>
    </xf>
    <xf numFmtId="0" fontId="0" fillId="0" borderId="18" xfId="0" applyBorder="1"/>
    <xf numFmtId="165" fontId="4" fillId="0" borderId="18" xfId="0" applyNumberFormat="1" applyFont="1" applyFill="1" applyBorder="1" applyAlignment="1">
      <alignment horizontal="center"/>
    </xf>
    <xf numFmtId="0" fontId="9" fillId="0" borderId="40" xfId="0" applyFont="1" applyBorder="1"/>
    <xf numFmtId="0" fontId="20" fillId="0" borderId="1" xfId="0" applyFont="1" applyBorder="1" applyAlignment="1">
      <alignment horizontal="center"/>
    </xf>
    <xf numFmtId="0" fontId="6" fillId="0" borderId="1" xfId="0" applyFont="1" applyBorder="1"/>
    <xf numFmtId="0" fontId="2" fillId="0" borderId="5" xfId="0" applyFont="1" applyBorder="1" applyAlignment="1">
      <alignment horizontal="right"/>
    </xf>
    <xf numFmtId="0" fontId="3" fillId="0" borderId="0" xfId="0" applyFont="1"/>
    <xf numFmtId="0" fontId="13" fillId="0" borderId="0" xfId="0" applyNumberFormat="1" applyFont="1" applyAlignment="1">
      <alignment horizontal="left"/>
    </xf>
    <xf numFmtId="165" fontId="14" fillId="0" borderId="0" xfId="0" applyNumberFormat="1" applyFont="1" applyAlignment="1"/>
    <xf numFmtId="10" fontId="14" fillId="0" borderId="0" xfId="0" applyNumberFormat="1" applyFont="1" applyAlignment="1"/>
    <xf numFmtId="9" fontId="14" fillId="0" borderId="0" xfId="0" applyNumberFormat="1" applyFont="1" applyAlignment="1"/>
    <xf numFmtId="167" fontId="14" fillId="0" borderId="0" xfId="0" applyNumberFormat="1" applyFont="1" applyAlignment="1"/>
    <xf numFmtId="164" fontId="14" fillId="0" borderId="0" xfId="0" applyNumberFormat="1" applyFont="1" applyAlignment="1"/>
    <xf numFmtId="2" fontId="14" fillId="0" borderId="0" xfId="0" applyNumberFormat="1" applyFont="1" applyAlignment="1"/>
    <xf numFmtId="0" fontId="14" fillId="0" borderId="0" xfId="0" applyNumberFormat="1" applyFont="1" applyAlignment="1"/>
    <xf numFmtId="0" fontId="17" fillId="0" borderId="0" xfId="0" applyNumberFormat="1" applyFont="1" applyAlignment="1"/>
    <xf numFmtId="0" fontId="18" fillId="0" borderId="0" xfId="0" applyNumberFormat="1" applyFont="1" applyAlignment="1"/>
    <xf numFmtId="2" fontId="6" fillId="0" borderId="0" xfId="0" applyNumberFormat="1" applyFont="1" applyBorder="1" applyAlignment="1">
      <alignment horizontal="center" vertical="center" wrapText="1"/>
    </xf>
    <xf numFmtId="168" fontId="6" fillId="0" borderId="0" xfId="0" applyNumberFormat="1" applyFont="1" applyBorder="1" applyAlignment="1">
      <alignment horizontal="center" vertical="center" wrapText="1"/>
    </xf>
    <xf numFmtId="165" fontId="6" fillId="0" borderId="0" xfId="0" applyNumberFormat="1" applyFont="1" applyFill="1" applyBorder="1" applyAlignment="1">
      <alignment horizontal="center"/>
    </xf>
    <xf numFmtId="1" fontId="6" fillId="0" borderId="0" xfId="0" applyNumberFormat="1" applyFont="1" applyFill="1" applyBorder="1" applyAlignment="1">
      <alignment horizontal="center"/>
    </xf>
    <xf numFmtId="9" fontId="6" fillId="0" borderId="0" xfId="0" applyNumberFormat="1" applyFont="1" applyBorder="1" applyAlignment="1">
      <alignment horizontal="center" vertical="center" wrapText="1"/>
    </xf>
    <xf numFmtId="2" fontId="6" fillId="0" borderId="0" xfId="0" applyNumberFormat="1" applyFont="1" applyFill="1" applyBorder="1" applyAlignment="1">
      <alignment horizontal="center"/>
    </xf>
    <xf numFmtId="10" fontId="6" fillId="0" borderId="41" xfId="0" applyNumberFormat="1" applyFont="1" applyBorder="1" applyAlignment="1">
      <alignment horizontal="center" vertical="center" wrapText="1"/>
    </xf>
    <xf numFmtId="10" fontId="6" fillId="0" borderId="42" xfId="0" applyNumberFormat="1" applyFont="1" applyBorder="1" applyAlignment="1">
      <alignment horizontal="center" vertical="center" wrapText="1"/>
    </xf>
    <xf numFmtId="9" fontId="6" fillId="0" borderId="42" xfId="0" applyNumberFormat="1" applyFont="1" applyBorder="1" applyAlignment="1">
      <alignment horizontal="center" vertical="center" wrapText="1"/>
    </xf>
    <xf numFmtId="168" fontId="19" fillId="0" borderId="43" xfId="0" applyNumberFormat="1" applyFont="1" applyBorder="1" applyAlignment="1">
      <alignment horizontal="center" vertical="center" wrapText="1"/>
    </xf>
    <xf numFmtId="0" fontId="6" fillId="0" borderId="44" xfId="0" applyNumberFormat="1" applyFont="1" applyBorder="1" applyAlignment="1">
      <alignment horizontal="center" vertical="center" wrapText="1"/>
    </xf>
    <xf numFmtId="0" fontId="6" fillId="0" borderId="45" xfId="0" applyNumberFormat="1" applyFont="1" applyBorder="1" applyAlignment="1">
      <alignment horizontal="center" vertical="center" wrapText="1"/>
    </xf>
    <xf numFmtId="0" fontId="6" fillId="0" borderId="46" xfId="0" applyNumberFormat="1" applyFont="1" applyBorder="1" applyAlignment="1">
      <alignment horizontal="center" vertical="center" wrapText="1"/>
    </xf>
    <xf numFmtId="165" fontId="6" fillId="0" borderId="47" xfId="0" applyNumberFormat="1" applyFont="1" applyBorder="1" applyAlignment="1">
      <alignment horizontal="center" vertical="center" wrapText="1"/>
    </xf>
    <xf numFmtId="9" fontId="6" fillId="0" borderId="48" xfId="0" applyNumberFormat="1" applyFont="1" applyBorder="1" applyAlignment="1">
      <alignment horizontal="center" vertical="center" wrapText="1"/>
    </xf>
    <xf numFmtId="165" fontId="6" fillId="0" borderId="49" xfId="0" applyNumberFormat="1" applyFont="1" applyBorder="1" applyAlignment="1">
      <alignment horizontal="center" vertical="center" wrapText="1"/>
    </xf>
    <xf numFmtId="9" fontId="6" fillId="0" borderId="50" xfId="0" applyNumberFormat="1" applyFont="1" applyBorder="1" applyAlignment="1">
      <alignment horizontal="center" vertical="center" wrapText="1"/>
    </xf>
    <xf numFmtId="2" fontId="19" fillId="0" borderId="51" xfId="0" applyNumberFormat="1" applyFont="1" applyBorder="1" applyAlignment="1">
      <alignment horizontal="center" vertical="center" wrapText="1"/>
    </xf>
    <xf numFmtId="168" fontId="19" fillId="0" borderId="52" xfId="0" applyNumberFormat="1" applyFont="1" applyBorder="1" applyAlignment="1">
      <alignment horizontal="center" vertical="center" wrapText="1"/>
    </xf>
    <xf numFmtId="2" fontId="6" fillId="2" borderId="53" xfId="0" applyNumberFormat="1" applyFont="1" applyFill="1" applyBorder="1" applyAlignment="1">
      <alignment horizontal="center"/>
    </xf>
    <xf numFmtId="168" fontId="6" fillId="0" borderId="52" xfId="0" applyNumberFormat="1" applyFont="1" applyBorder="1" applyAlignment="1">
      <alignment horizontal="center" vertical="center" wrapText="1"/>
    </xf>
    <xf numFmtId="0" fontId="6" fillId="0" borderId="0" xfId="0" applyNumberFormat="1" applyFont="1" applyBorder="1" applyAlignment="1">
      <alignment horizontal="left" vertical="center"/>
    </xf>
    <xf numFmtId="9" fontId="6" fillId="0" borderId="54" xfId="0" applyNumberFormat="1" applyFont="1" applyBorder="1" applyAlignment="1">
      <alignment horizontal="center" vertical="center" wrapText="1"/>
    </xf>
    <xf numFmtId="9" fontId="6" fillId="0" borderId="55" xfId="0" applyNumberFormat="1" applyFont="1" applyBorder="1" applyAlignment="1">
      <alignment horizontal="center" vertical="center" wrapText="1"/>
    </xf>
    <xf numFmtId="2" fontId="22" fillId="0" borderId="56" xfId="0" applyNumberFormat="1" applyFont="1" applyBorder="1" applyAlignment="1">
      <alignment horizontal="center" vertical="center" wrapText="1"/>
    </xf>
    <xf numFmtId="0" fontId="0" fillId="0" borderId="0" xfId="0" applyFill="1" applyBorder="1"/>
    <xf numFmtId="0" fontId="6" fillId="0" borderId="0" xfId="0" applyFont="1" applyBorder="1" applyAlignment="1">
      <alignment horizontal="center"/>
    </xf>
    <xf numFmtId="166" fontId="4" fillId="0" borderId="0" xfId="0" applyNumberFormat="1" applyFont="1" applyBorder="1" applyAlignment="1">
      <alignment horizontal="center"/>
    </xf>
    <xf numFmtId="165" fontId="19" fillId="0" borderId="43" xfId="0" applyNumberFormat="1" applyFont="1" applyBorder="1" applyAlignment="1">
      <alignment horizontal="center" vertical="center" wrapText="1"/>
    </xf>
    <xf numFmtId="165" fontId="19" fillId="0" borderId="52" xfId="0" applyNumberFormat="1" applyFont="1" applyBorder="1" applyAlignment="1">
      <alignment horizontal="center" vertical="center" wrapText="1"/>
    </xf>
    <xf numFmtId="9" fontId="4" fillId="0" borderId="0" xfId="0" applyNumberFormat="1" applyFont="1" applyBorder="1" applyAlignment="1">
      <alignment horizontal="center"/>
    </xf>
    <xf numFmtId="9" fontId="6" fillId="0" borderId="57" xfId="0" applyNumberFormat="1" applyFont="1" applyBorder="1" applyAlignment="1">
      <alignment horizontal="center" vertical="center" wrapText="1"/>
    </xf>
    <xf numFmtId="9" fontId="6" fillId="0" borderId="58" xfId="0" applyNumberFormat="1" applyFont="1" applyBorder="1" applyAlignment="1">
      <alignment horizontal="center" vertical="center" wrapText="1"/>
    </xf>
    <xf numFmtId="2" fontId="22" fillId="0" borderId="59" xfId="0" applyNumberFormat="1" applyFont="1" applyBorder="1" applyAlignment="1">
      <alignment horizontal="center" vertical="center" wrapText="1"/>
    </xf>
    <xf numFmtId="0" fontId="6" fillId="0" borderId="60" xfId="0" applyNumberFormat="1" applyFont="1" applyBorder="1" applyAlignment="1">
      <alignment horizontal="center" vertical="center" wrapText="1"/>
    </xf>
    <xf numFmtId="2" fontId="19" fillId="0" borderId="61" xfId="0" applyNumberFormat="1" applyFont="1" applyBorder="1" applyAlignment="1">
      <alignment horizontal="center" vertical="center" wrapText="1"/>
    </xf>
    <xf numFmtId="168" fontId="19" fillId="0" borderId="62" xfId="0" applyNumberFormat="1" applyFont="1" applyBorder="1" applyAlignment="1">
      <alignment horizontal="center" vertical="center" wrapText="1"/>
    </xf>
    <xf numFmtId="165" fontId="19" fillId="0" borderId="62" xfId="0" applyNumberFormat="1" applyFont="1" applyBorder="1" applyAlignment="1">
      <alignment horizontal="center" vertical="center" wrapText="1"/>
    </xf>
    <xf numFmtId="165" fontId="19" fillId="0" borderId="63" xfId="0" applyNumberFormat="1" applyFont="1" applyBorder="1" applyAlignment="1">
      <alignment horizontal="center" vertical="center" wrapText="1"/>
    </xf>
    <xf numFmtId="2" fontId="22" fillId="0" borderId="64" xfId="0" applyNumberFormat="1" applyFont="1" applyBorder="1" applyAlignment="1">
      <alignment horizontal="center" vertical="center" wrapText="1"/>
    </xf>
    <xf numFmtId="9" fontId="0" fillId="0" borderId="0" xfId="1" applyFont="1"/>
    <xf numFmtId="0" fontId="6" fillId="2" borderId="65" xfId="0" applyFont="1" applyFill="1" applyBorder="1" applyAlignment="1">
      <alignment horizontal="center"/>
    </xf>
    <xf numFmtId="2" fontId="6" fillId="2" borderId="66" xfId="0" applyNumberFormat="1" applyFont="1" applyFill="1" applyBorder="1" applyAlignment="1">
      <alignment horizontal="center"/>
    </xf>
    <xf numFmtId="2" fontId="0" fillId="0" borderId="28" xfId="0" applyNumberFormat="1" applyBorder="1" applyAlignment="1">
      <alignment horizontal="center"/>
    </xf>
    <xf numFmtId="2" fontId="2" fillId="0" borderId="67" xfId="0" applyNumberFormat="1" applyFont="1" applyBorder="1" applyAlignment="1">
      <alignment horizontal="center"/>
    </xf>
    <xf numFmtId="1" fontId="4" fillId="0" borderId="0" xfId="0" applyNumberFormat="1" applyFont="1" applyBorder="1" applyAlignment="1">
      <alignment horizontal="center"/>
    </xf>
    <xf numFmtId="1" fontId="23" fillId="0" borderId="0" xfId="0" applyNumberFormat="1" applyFont="1"/>
    <xf numFmtId="0" fontId="6" fillId="0" borderId="3" xfId="0" applyFont="1" applyFill="1" applyBorder="1"/>
    <xf numFmtId="2" fontId="0" fillId="0" borderId="21" xfId="0" applyNumberFormat="1" applyBorder="1" applyAlignment="1">
      <alignment horizontal="center"/>
    </xf>
    <xf numFmtId="2" fontId="6" fillId="0" borderId="26" xfId="0" applyNumberFormat="1" applyFont="1" applyBorder="1" applyAlignment="1">
      <alignment horizontal="center"/>
    </xf>
    <xf numFmtId="2" fontId="6" fillId="0" borderId="19" xfId="0" applyNumberFormat="1" applyFont="1" applyBorder="1" applyAlignment="1">
      <alignment horizontal="center"/>
    </xf>
    <xf numFmtId="1" fontId="0" fillId="0" borderId="0" xfId="0" applyNumberFormat="1"/>
    <xf numFmtId="0" fontId="0" fillId="0" borderId="0" xfId="0" applyAlignment="1">
      <alignment horizontal="left" vertical="top" wrapText="1"/>
    </xf>
    <xf numFmtId="0" fontId="6" fillId="0" borderId="0" xfId="0" applyNumberFormat="1" applyFont="1" applyAlignment="1">
      <alignment horizontal="left" vertical="top" wrapText="1"/>
    </xf>
    <xf numFmtId="0" fontId="0" fillId="0" borderId="0" xfId="0" applyNumberFormat="1" applyAlignment="1">
      <alignment horizontal="left" vertical="top" wrapText="1"/>
    </xf>
    <xf numFmtId="0" fontId="10" fillId="0" borderId="0" xfId="0" applyFont="1" applyAlignment="1">
      <alignment horizontal="center"/>
    </xf>
    <xf numFmtId="14" fontId="0" fillId="0" borderId="0" xfId="0" applyNumberFormat="1" applyAlignment="1">
      <alignment horizontal="center"/>
    </xf>
    <xf numFmtId="0" fontId="20" fillId="0" borderId="0" xfId="0" applyFont="1" applyAlignment="1">
      <alignment horizontal="left" vertical="top" wrapText="1"/>
    </xf>
    <xf numFmtId="0" fontId="0" fillId="0" borderId="0" xfId="0" applyAlignmen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pageSetUpPr fitToPage="1"/>
  </sheetPr>
  <dimension ref="A1:M55"/>
  <sheetViews>
    <sheetView tabSelected="1" zoomScaleNormal="100" workbookViewId="0">
      <selection activeCell="A3" sqref="A3:L3"/>
    </sheetView>
  </sheetViews>
  <sheetFormatPr defaultRowHeight="12.75"/>
  <cols>
    <col min="1" max="1" width="1.7109375" customWidth="1"/>
    <col min="2" max="2" width="13.85546875" customWidth="1"/>
    <col min="3" max="3" width="44" customWidth="1"/>
    <col min="4" max="4" width="12.140625" bestFit="1" customWidth="1"/>
    <col min="5" max="5" width="12.140625" customWidth="1"/>
    <col min="6" max="6" width="16" customWidth="1"/>
    <col min="7" max="7" width="13.140625" customWidth="1"/>
  </cols>
  <sheetData>
    <row r="1" spans="1:13" ht="20.25">
      <c r="A1" s="161" t="s">
        <v>123</v>
      </c>
      <c r="B1" s="161"/>
      <c r="C1" s="161"/>
      <c r="D1" s="161"/>
      <c r="E1" s="161"/>
      <c r="F1" s="161"/>
      <c r="G1" s="161"/>
      <c r="H1" s="161"/>
      <c r="I1" s="161"/>
      <c r="J1" s="161"/>
      <c r="K1" s="161"/>
      <c r="L1" s="161"/>
    </row>
    <row r="2" spans="1:13">
      <c r="A2" s="162">
        <v>42086</v>
      </c>
      <c r="B2" s="162"/>
      <c r="C2" s="162"/>
      <c r="D2" s="162"/>
      <c r="E2" s="162"/>
      <c r="F2" s="162"/>
      <c r="G2" s="162"/>
      <c r="H2" s="162"/>
      <c r="I2" s="162"/>
      <c r="J2" s="162"/>
      <c r="K2" s="162"/>
      <c r="L2" s="162"/>
    </row>
    <row r="3" spans="1:13" ht="37.5" customHeight="1">
      <c r="A3" s="163" t="s">
        <v>16</v>
      </c>
      <c r="B3" s="163"/>
      <c r="C3" s="163"/>
      <c r="D3" s="163"/>
      <c r="E3" s="163"/>
      <c r="F3" s="163"/>
      <c r="G3" s="163"/>
      <c r="H3" s="163"/>
      <c r="I3" s="163"/>
      <c r="J3" s="163"/>
      <c r="K3" s="163"/>
      <c r="L3" s="163"/>
    </row>
    <row r="5" spans="1:13">
      <c r="B5" s="3" t="s">
        <v>14</v>
      </c>
      <c r="C5" s="158" t="s">
        <v>68</v>
      </c>
      <c r="D5" s="158"/>
      <c r="E5" s="158"/>
      <c r="F5" s="158"/>
      <c r="G5" s="158"/>
      <c r="H5" s="158"/>
      <c r="I5" s="158"/>
      <c r="J5" s="158"/>
      <c r="K5" s="158"/>
      <c r="L5" s="158"/>
    </row>
    <row r="6" spans="1:13">
      <c r="C6" s="158"/>
      <c r="D6" s="158"/>
      <c r="E6" s="158"/>
      <c r="F6" s="158"/>
      <c r="G6" s="158"/>
      <c r="H6" s="158"/>
      <c r="I6" s="158"/>
      <c r="J6" s="158"/>
      <c r="K6" s="158"/>
      <c r="L6" s="158"/>
    </row>
    <row r="8" spans="1:13" ht="12.75" customHeight="1">
      <c r="C8" s="159" t="s">
        <v>69</v>
      </c>
      <c r="D8" s="160"/>
      <c r="E8" s="160"/>
      <c r="F8" s="160"/>
      <c r="G8" s="160"/>
      <c r="H8" s="160"/>
      <c r="I8" s="160"/>
      <c r="J8" s="160"/>
      <c r="K8" s="160"/>
      <c r="L8" s="160"/>
    </row>
    <row r="9" spans="1:13">
      <c r="C9" s="160"/>
      <c r="D9" s="160"/>
      <c r="E9" s="160"/>
      <c r="F9" s="160"/>
      <c r="G9" s="160"/>
      <c r="H9" s="160"/>
      <c r="I9" s="160"/>
      <c r="J9" s="160"/>
      <c r="K9" s="160"/>
      <c r="L9" s="160"/>
    </row>
    <row r="10" spans="1:13" ht="12" customHeight="1">
      <c r="C10" s="160"/>
      <c r="D10" s="160"/>
      <c r="E10" s="160"/>
      <c r="F10" s="160"/>
      <c r="G10" s="160"/>
      <c r="H10" s="160"/>
      <c r="I10" s="160"/>
      <c r="J10" s="160"/>
      <c r="K10" s="160"/>
      <c r="L10" s="160"/>
    </row>
    <row r="11" spans="1:13" hidden="1">
      <c r="C11" s="160"/>
      <c r="D11" s="160"/>
      <c r="E11" s="160"/>
      <c r="F11" s="160"/>
      <c r="G11" s="160"/>
      <c r="H11" s="160"/>
      <c r="I11" s="160"/>
      <c r="J11" s="160"/>
      <c r="K11" s="160"/>
      <c r="L11" s="160"/>
    </row>
    <row r="12" spans="1:13" hidden="1">
      <c r="C12" s="160"/>
      <c r="D12" s="160"/>
      <c r="E12" s="160"/>
      <c r="F12" s="160"/>
      <c r="G12" s="160"/>
      <c r="H12" s="160"/>
      <c r="I12" s="160"/>
      <c r="J12" s="160"/>
      <c r="K12" s="160"/>
      <c r="L12" s="160"/>
    </row>
    <row r="13" spans="1:13">
      <c r="D13" s="17"/>
      <c r="E13" s="17"/>
      <c r="F13" s="17"/>
      <c r="G13" s="17"/>
      <c r="H13" s="17"/>
      <c r="I13" s="17"/>
      <c r="J13" s="17"/>
      <c r="K13" s="17"/>
      <c r="L13" s="17"/>
      <c r="M13" s="17"/>
    </row>
    <row r="14" spans="1:13" ht="13.5" thickBot="1">
      <c r="C14" s="1" t="s">
        <v>9</v>
      </c>
    </row>
    <row r="15" spans="1:13" ht="13.5" thickTop="1">
      <c r="C15" s="94"/>
      <c r="D15" s="92"/>
      <c r="E15" s="93"/>
      <c r="F15" s="5"/>
      <c r="G15" s="11"/>
    </row>
    <row r="16" spans="1:13">
      <c r="C16" s="28" t="s">
        <v>89</v>
      </c>
      <c r="D16" s="13">
        <v>3</v>
      </c>
      <c r="E16" s="21" t="s">
        <v>81</v>
      </c>
      <c r="F16" s="7"/>
      <c r="G16" s="8"/>
      <c r="H16" s="4" t="s">
        <v>24</v>
      </c>
    </row>
    <row r="17" spans="3:8">
      <c r="C17" s="20" t="s">
        <v>92</v>
      </c>
      <c r="D17" s="12" t="s">
        <v>8</v>
      </c>
      <c r="E17" s="30" t="s">
        <v>11</v>
      </c>
      <c r="F17" s="7"/>
      <c r="G17" s="8"/>
      <c r="H17" s="30" t="s">
        <v>24</v>
      </c>
    </row>
    <row r="18" spans="3:8">
      <c r="C18" s="20"/>
      <c r="D18" s="13"/>
      <c r="E18" s="21"/>
      <c r="F18" s="7"/>
      <c r="G18" s="8"/>
      <c r="H18" s="4"/>
    </row>
    <row r="19" spans="3:8">
      <c r="C19" s="28" t="s">
        <v>90</v>
      </c>
      <c r="D19" s="13"/>
      <c r="E19" s="21"/>
      <c r="F19" s="7"/>
      <c r="G19" s="8"/>
      <c r="H19" s="4"/>
    </row>
    <row r="20" spans="3:8">
      <c r="C20" s="20" t="s">
        <v>107</v>
      </c>
      <c r="D20" s="13"/>
      <c r="E20" s="21"/>
      <c r="F20" s="7"/>
      <c r="G20" s="8"/>
      <c r="H20" s="4"/>
    </row>
    <row r="21" spans="3:8">
      <c r="C21" s="20" t="s">
        <v>82</v>
      </c>
      <c r="D21" s="133">
        <v>2</v>
      </c>
      <c r="E21" s="21" t="s">
        <v>74</v>
      </c>
      <c r="F21" s="7"/>
      <c r="G21" s="8"/>
      <c r="H21" s="4"/>
    </row>
    <row r="22" spans="3:8">
      <c r="C22" s="20" t="s">
        <v>83</v>
      </c>
      <c r="D22" s="86">
        <v>8.34</v>
      </c>
      <c r="E22" s="21" t="s">
        <v>46</v>
      </c>
      <c r="F22" s="7"/>
      <c r="G22" s="8"/>
      <c r="H22" s="131" t="s">
        <v>85</v>
      </c>
    </row>
    <row r="23" spans="3:8">
      <c r="C23" s="20" t="s">
        <v>84</v>
      </c>
      <c r="D23" s="87">
        <v>1</v>
      </c>
      <c r="E23" s="30" t="s">
        <v>13</v>
      </c>
      <c r="F23" s="4" t="s">
        <v>24</v>
      </c>
      <c r="G23" s="8"/>
      <c r="H23" s="131" t="s">
        <v>85</v>
      </c>
    </row>
    <row r="24" spans="3:8">
      <c r="C24" s="20"/>
      <c r="D24" s="87"/>
      <c r="E24" s="30"/>
      <c r="F24" s="4"/>
      <c r="G24" s="8"/>
      <c r="H24" s="131"/>
    </row>
    <row r="25" spans="3:8">
      <c r="C25" s="20" t="s">
        <v>108</v>
      </c>
      <c r="D25" s="87"/>
      <c r="E25" s="30"/>
      <c r="F25" s="4"/>
      <c r="G25" s="8"/>
      <c r="H25" s="131"/>
    </row>
    <row r="26" spans="3:8">
      <c r="C26" s="20" t="s">
        <v>82</v>
      </c>
      <c r="D26" s="133">
        <v>1.5</v>
      </c>
      <c r="E26" s="21" t="s">
        <v>74</v>
      </c>
      <c r="F26" s="4"/>
      <c r="G26" s="8"/>
      <c r="H26" s="131"/>
    </row>
    <row r="27" spans="3:8">
      <c r="C27" s="20" t="s">
        <v>83</v>
      </c>
      <c r="D27" s="86">
        <v>8.34</v>
      </c>
      <c r="E27" s="21" t="s">
        <v>46</v>
      </c>
      <c r="F27" s="7"/>
      <c r="G27" s="8"/>
      <c r="H27" s="131" t="s">
        <v>85</v>
      </c>
    </row>
    <row r="28" spans="3:8">
      <c r="C28" s="20" t="s">
        <v>99</v>
      </c>
      <c r="D28" s="87">
        <v>1</v>
      </c>
      <c r="E28" s="30" t="s">
        <v>13</v>
      </c>
      <c r="F28" s="7"/>
      <c r="G28" s="8"/>
      <c r="H28" s="131" t="s">
        <v>85</v>
      </c>
    </row>
    <row r="29" spans="3:8">
      <c r="C29" s="20" t="s">
        <v>56</v>
      </c>
      <c r="D29" s="87">
        <v>0.4</v>
      </c>
      <c r="E29" s="30" t="s">
        <v>13</v>
      </c>
      <c r="F29" s="21" t="s">
        <v>62</v>
      </c>
      <c r="G29" s="8"/>
      <c r="H29" s="131" t="s">
        <v>67</v>
      </c>
    </row>
    <row r="30" spans="3:8">
      <c r="C30" s="20"/>
      <c r="D30" s="87"/>
      <c r="E30" s="30"/>
      <c r="F30" s="21" t="s">
        <v>63</v>
      </c>
      <c r="G30" s="8"/>
      <c r="H30" s="4" t="s">
        <v>57</v>
      </c>
    </row>
    <row r="31" spans="3:8">
      <c r="C31" s="20"/>
      <c r="D31" s="87"/>
      <c r="E31" s="30"/>
      <c r="F31" s="21"/>
      <c r="G31" s="8"/>
      <c r="H31" s="4" t="s">
        <v>58</v>
      </c>
    </row>
    <row r="32" spans="3:8">
      <c r="C32" s="20"/>
      <c r="D32" s="87"/>
      <c r="E32" s="30"/>
      <c r="F32" s="21"/>
      <c r="G32" s="8"/>
      <c r="H32" s="4" t="s">
        <v>59</v>
      </c>
    </row>
    <row r="33" spans="3:8">
      <c r="C33" s="20"/>
      <c r="D33" s="87"/>
      <c r="E33" s="30"/>
      <c r="F33" s="21"/>
      <c r="G33" s="8"/>
      <c r="H33" s="4" t="s">
        <v>121</v>
      </c>
    </row>
    <row r="34" spans="3:8">
      <c r="C34" s="20"/>
      <c r="D34" s="87"/>
      <c r="E34" s="30"/>
      <c r="F34" s="21"/>
      <c r="G34" s="8"/>
      <c r="H34" s="4" t="s">
        <v>60</v>
      </c>
    </row>
    <row r="35" spans="3:8">
      <c r="C35" s="20"/>
      <c r="D35" s="87"/>
      <c r="E35" s="30"/>
      <c r="F35" s="21"/>
      <c r="G35" s="8"/>
      <c r="H35" s="4" t="s">
        <v>61</v>
      </c>
    </row>
    <row r="36" spans="3:8">
      <c r="C36" s="20" t="s">
        <v>93</v>
      </c>
      <c r="D36" s="12" t="s">
        <v>94</v>
      </c>
      <c r="E36" s="30" t="s">
        <v>24</v>
      </c>
      <c r="F36" s="21" t="s">
        <v>24</v>
      </c>
      <c r="G36" s="8"/>
      <c r="H36" s="4"/>
    </row>
    <row r="37" spans="3:8">
      <c r="C37" s="20"/>
      <c r="D37" s="87"/>
      <c r="E37" s="30"/>
      <c r="F37" s="21"/>
      <c r="G37" s="8"/>
      <c r="H37" s="4"/>
    </row>
    <row r="38" spans="3:8">
      <c r="C38" s="28" t="s">
        <v>91</v>
      </c>
      <c r="D38" s="13"/>
      <c r="E38" s="21"/>
      <c r="F38" s="7"/>
      <c r="G38" s="8"/>
      <c r="H38" s="4"/>
    </row>
    <row r="39" spans="3:8">
      <c r="C39" s="20" t="s">
        <v>86</v>
      </c>
      <c r="D39" s="13">
        <v>1</v>
      </c>
      <c r="E39" s="21" t="s">
        <v>74</v>
      </c>
      <c r="F39" s="7"/>
      <c r="G39" s="8"/>
      <c r="H39" s="4"/>
    </row>
    <row r="40" spans="3:8">
      <c r="C40" s="20" t="s">
        <v>87</v>
      </c>
      <c r="D40" s="86">
        <v>8.34</v>
      </c>
      <c r="E40" s="21" t="s">
        <v>46</v>
      </c>
      <c r="F40" s="7"/>
      <c r="G40" s="8"/>
      <c r="H40" s="131" t="s">
        <v>85</v>
      </c>
    </row>
    <row r="41" spans="3:8">
      <c r="C41" s="20" t="s">
        <v>88</v>
      </c>
      <c r="D41" s="136">
        <v>1</v>
      </c>
      <c r="E41" s="30" t="s">
        <v>13</v>
      </c>
      <c r="F41" s="4" t="s">
        <v>24</v>
      </c>
      <c r="G41" s="8"/>
      <c r="H41" s="131" t="s">
        <v>85</v>
      </c>
    </row>
    <row r="42" spans="3:8">
      <c r="C42" s="20"/>
      <c r="D42" s="136"/>
      <c r="E42" s="30"/>
      <c r="F42" s="4"/>
      <c r="G42" s="8"/>
      <c r="H42" s="131"/>
    </row>
    <row r="43" spans="3:8">
      <c r="C43" s="28" t="s">
        <v>109</v>
      </c>
      <c r="D43" s="136"/>
      <c r="E43" s="30"/>
      <c r="F43" s="4"/>
      <c r="G43" s="8"/>
      <c r="H43" s="131"/>
    </row>
    <row r="44" spans="3:8">
      <c r="C44" s="20" t="s">
        <v>114</v>
      </c>
      <c r="D44" s="151">
        <v>11</v>
      </c>
      <c r="E44" s="30" t="s">
        <v>115</v>
      </c>
      <c r="F44" s="4"/>
      <c r="G44" s="8"/>
      <c r="H44" s="30" t="s">
        <v>113</v>
      </c>
    </row>
    <row r="45" spans="3:8">
      <c r="C45" s="20" t="s">
        <v>116</v>
      </c>
      <c r="D45" s="151">
        <v>500</v>
      </c>
      <c r="E45" s="30" t="s">
        <v>117</v>
      </c>
      <c r="F45" s="4"/>
      <c r="G45" s="8"/>
      <c r="H45" s="30" t="s">
        <v>118</v>
      </c>
    </row>
    <row r="46" spans="3:8">
      <c r="C46" s="20" t="s">
        <v>24</v>
      </c>
      <c r="D46" s="87" t="s">
        <v>24</v>
      </c>
      <c r="E46" s="30" t="s">
        <v>24</v>
      </c>
      <c r="F46" s="21" t="s">
        <v>24</v>
      </c>
      <c r="G46" s="8"/>
    </row>
    <row r="47" spans="3:8">
      <c r="C47" s="28" t="s">
        <v>64</v>
      </c>
      <c r="D47" s="12">
        <v>10</v>
      </c>
      <c r="E47" s="21" t="s">
        <v>17</v>
      </c>
      <c r="F47" s="7"/>
      <c r="G47" s="8"/>
      <c r="H47" s="4" t="s">
        <v>24</v>
      </c>
    </row>
    <row r="48" spans="3:8">
      <c r="C48" s="10" t="s">
        <v>10</v>
      </c>
      <c r="D48" s="12"/>
      <c r="E48" s="7"/>
      <c r="F48" s="7"/>
      <c r="G48" s="8"/>
    </row>
    <row r="49" spans="2:12" ht="14.25">
      <c r="C49" s="9" t="s">
        <v>12</v>
      </c>
      <c r="D49" s="12" t="s">
        <v>8</v>
      </c>
      <c r="E49" s="7" t="s">
        <v>11</v>
      </c>
      <c r="F49" s="132" t="s">
        <v>70</v>
      </c>
      <c r="G49" s="16" t="str">
        <f>IF(OR(D49="Y",D49="N"),"","ERROR!")</f>
        <v/>
      </c>
    </row>
    <row r="50" spans="2:12">
      <c r="C50" s="29" t="s">
        <v>23</v>
      </c>
      <c r="D50" s="12" t="s">
        <v>8</v>
      </c>
      <c r="E50" s="7" t="s">
        <v>11</v>
      </c>
      <c r="F50" s="18">
        <v>15</v>
      </c>
      <c r="G50" s="22" t="s">
        <v>30</v>
      </c>
    </row>
    <row r="51" spans="2:12">
      <c r="C51" s="20" t="s">
        <v>50</v>
      </c>
      <c r="D51" s="12" t="s">
        <v>8</v>
      </c>
      <c r="E51" s="7" t="s">
        <v>11</v>
      </c>
      <c r="F51" s="18">
        <v>15</v>
      </c>
      <c r="G51" s="22" t="s">
        <v>30</v>
      </c>
    </row>
    <row r="52" spans="2:12" ht="13.5" thickBot="1">
      <c r="C52" s="46"/>
      <c r="D52" s="88"/>
      <c r="E52" s="89"/>
      <c r="F52" s="90"/>
      <c r="G52" s="91"/>
    </row>
    <row r="53" spans="2:12" ht="13.5" thickTop="1">
      <c r="B53" s="7"/>
      <c r="C53" s="7"/>
      <c r="D53" s="7"/>
      <c r="L53" t="str">
        <f>I53&amp;" "&amp;E53</f>
        <v xml:space="preserve"> </v>
      </c>
    </row>
    <row r="54" spans="2:12">
      <c r="B54" s="7"/>
      <c r="C54" s="7"/>
      <c r="D54" s="7"/>
      <c r="L54" t="str">
        <f>I54&amp;" "&amp;E54</f>
        <v xml:space="preserve"> </v>
      </c>
    </row>
    <row r="55" spans="2:12">
      <c r="B55" s="7"/>
      <c r="C55" s="7"/>
      <c r="D55" s="7"/>
    </row>
  </sheetData>
  <mergeCells count="5">
    <mergeCell ref="C5:L6"/>
    <mergeCell ref="C8:L12"/>
    <mergeCell ref="A1:L1"/>
    <mergeCell ref="A2:L2"/>
    <mergeCell ref="A3:L3"/>
  </mergeCells>
  <phoneticPr fontId="3" type="noConversion"/>
  <pageMargins left="0.75" right="0.75" top="1" bottom="1" header="0.5" footer="0.5"/>
  <pageSetup scale="71" orientation="landscape" r:id="rId1"/>
  <headerFooter alignWithMargins="0">
    <oddFooter>Page &amp;P of &amp;N</oddFooter>
  </headerFooter>
  <colBreaks count="1" manualBreakCount="1">
    <brk id="13" max="1048575" man="1"/>
  </colBreaks>
  <customProperties>
    <customPr name="DVSECTION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2"/>
    <pageSetUpPr fitToPage="1"/>
  </sheetPr>
  <dimension ref="A1:L12"/>
  <sheetViews>
    <sheetView zoomScaleNormal="100" workbookViewId="0">
      <selection activeCell="A3" sqref="A3"/>
    </sheetView>
  </sheetViews>
  <sheetFormatPr defaultRowHeight="12.75"/>
  <cols>
    <col min="1" max="1" width="24.5703125" customWidth="1"/>
    <col min="2" max="2" width="12.42578125" customWidth="1"/>
    <col min="3" max="3" width="12.7109375" customWidth="1"/>
    <col min="4" max="4" width="11.42578125" customWidth="1"/>
    <col min="5" max="5" width="12" customWidth="1"/>
    <col min="6" max="6" width="12.140625" customWidth="1"/>
    <col min="7" max="7" width="11" customWidth="1"/>
    <col min="8" max="8" width="13" customWidth="1"/>
    <col min="9" max="9" width="16.42578125" customWidth="1"/>
    <col min="10" max="10" width="12.7109375" customWidth="1"/>
    <col min="11" max="13" width="9.28515625" customWidth="1"/>
  </cols>
  <sheetData>
    <row r="1" spans="1:12" ht="20.25">
      <c r="A1" s="161" t="s">
        <v>123</v>
      </c>
      <c r="B1" s="161"/>
      <c r="C1" s="161"/>
      <c r="D1" s="161"/>
      <c r="E1" s="161"/>
      <c r="F1" s="161"/>
      <c r="G1" s="161"/>
      <c r="H1" s="161"/>
      <c r="I1" s="161"/>
      <c r="J1" s="161"/>
      <c r="K1" s="161"/>
      <c r="L1" s="161"/>
    </row>
    <row r="2" spans="1:12">
      <c r="A2" s="162">
        <v>42086</v>
      </c>
      <c r="B2" s="162"/>
      <c r="C2" s="162"/>
      <c r="D2" s="162"/>
      <c r="E2" s="162"/>
      <c r="F2" s="162"/>
      <c r="G2" s="162"/>
      <c r="H2" s="162"/>
      <c r="I2" s="162"/>
      <c r="J2" s="162"/>
      <c r="K2" s="162"/>
      <c r="L2" s="162"/>
    </row>
    <row r="3" spans="1:12" ht="17.25" customHeight="1">
      <c r="A3" s="27"/>
      <c r="B3" s="27"/>
      <c r="C3" s="27"/>
      <c r="D3" s="27"/>
      <c r="E3" s="27"/>
      <c r="F3" s="27"/>
      <c r="G3" s="27"/>
      <c r="H3" s="27"/>
      <c r="I3" s="27"/>
      <c r="J3" s="24"/>
      <c r="K3" s="24"/>
      <c r="L3" s="24"/>
    </row>
    <row r="5" spans="1:12">
      <c r="A5" s="15" t="s">
        <v>53</v>
      </c>
    </row>
    <row r="6" spans="1:12" ht="13.5" thickBot="1">
      <c r="A6" s="15"/>
    </row>
    <row r="7" spans="1:12" ht="17.25" thickTop="1" thickBot="1">
      <c r="A7" s="19" t="s">
        <v>122</v>
      </c>
      <c r="B7" s="40" t="s">
        <v>0</v>
      </c>
      <c r="C7" s="41" t="s">
        <v>20</v>
      </c>
      <c r="D7" s="41" t="s">
        <v>19</v>
      </c>
      <c r="E7" s="41" t="s">
        <v>21</v>
      </c>
      <c r="F7" s="41" t="s">
        <v>22</v>
      </c>
      <c r="G7" s="41" t="s">
        <v>1</v>
      </c>
      <c r="H7" s="147" t="s">
        <v>4</v>
      </c>
    </row>
    <row r="8" spans="1:12">
      <c r="A8" s="42" t="s">
        <v>98</v>
      </c>
      <c r="B8" s="125">
        <f>'Surface Coating'!H27</f>
        <v>8.2190700000000061E-2</v>
      </c>
      <c r="C8" s="48">
        <f>'Surface Coating'!H27</f>
        <v>8.2190700000000061E-2</v>
      </c>
      <c r="D8" s="48">
        <f>'Surface Coating'!H27</f>
        <v>8.2190700000000061E-2</v>
      </c>
      <c r="E8" s="36" t="s">
        <v>29</v>
      </c>
      <c r="F8" s="36" t="s">
        <v>29</v>
      </c>
      <c r="G8" s="36" t="s">
        <v>29</v>
      </c>
      <c r="H8" s="148">
        <f>'Surface Coating'!F13</f>
        <v>13.698449999999998</v>
      </c>
    </row>
    <row r="9" spans="1:12">
      <c r="A9" s="37" t="s">
        <v>66</v>
      </c>
      <c r="B9" s="38">
        <f>Heater!E9</f>
        <v>9.5737704918032795E-2</v>
      </c>
      <c r="C9" s="39">
        <f>Heater!F9</f>
        <v>0.34352941176470586</v>
      </c>
      <c r="D9" s="39">
        <f>Heater!G9</f>
        <v>0.34352941176470586</v>
      </c>
      <c r="E9" s="39">
        <f>Heater!H9</f>
        <v>0.71803278688524586</v>
      </c>
      <c r="F9" s="39">
        <f>Heater!I9</f>
        <v>6.4411764705882355</v>
      </c>
      <c r="G9" s="39">
        <f>Heater!J9</f>
        <v>3.6070588235294121</v>
      </c>
      <c r="H9" s="149">
        <f>Heater!K9</f>
        <v>0.47868852459016392</v>
      </c>
    </row>
    <row r="10" spans="1:12" ht="13.5" thickBot="1">
      <c r="A10" s="153" t="s">
        <v>111</v>
      </c>
      <c r="B10" s="155" t="s">
        <v>112</v>
      </c>
      <c r="C10" s="156" t="s">
        <v>112</v>
      </c>
      <c r="D10" s="156" t="s">
        <v>112</v>
      </c>
      <c r="E10" s="156" t="s">
        <v>112</v>
      </c>
      <c r="F10" s="156" t="s">
        <v>112</v>
      </c>
      <c r="G10" s="156" t="s">
        <v>112</v>
      </c>
      <c r="H10" s="154">
        <f>'Cold Degreaser'!L8</f>
        <v>2.75</v>
      </c>
    </row>
    <row r="11" spans="1:12" ht="14.25" thickTop="1" thickBot="1">
      <c r="A11" s="43" t="s">
        <v>28</v>
      </c>
      <c r="B11" s="44">
        <f t="shared" ref="B11:H11" si="0">SUM(B8:B9)</f>
        <v>0.17792840491803286</v>
      </c>
      <c r="C11" s="45">
        <f t="shared" si="0"/>
        <v>0.42572011176470592</v>
      </c>
      <c r="D11" s="45">
        <f t="shared" si="0"/>
        <v>0.42572011176470592</v>
      </c>
      <c r="E11" s="45">
        <f t="shared" si="0"/>
        <v>0.71803278688524586</v>
      </c>
      <c r="F11" s="45">
        <f t="shared" si="0"/>
        <v>6.4411764705882355</v>
      </c>
      <c r="G11" s="45">
        <f t="shared" si="0"/>
        <v>3.6070588235294121</v>
      </c>
      <c r="H11" s="150">
        <f t="shared" si="0"/>
        <v>14.177138524590161</v>
      </c>
    </row>
    <row r="12" spans="1:12" ht="13.5" thickTop="1"/>
  </sheetData>
  <mergeCells count="2">
    <mergeCell ref="A2:L2"/>
    <mergeCell ref="A1:L1"/>
  </mergeCells>
  <phoneticPr fontId="3" type="noConversion"/>
  <pageMargins left="0.75" right="0.75" top="1" bottom="1" header="0.5" footer="0.5"/>
  <pageSetup scale="98" orientation="landscape" r:id="rId1"/>
  <headerFooter alignWithMargins="0">
    <oddFooter>Page &amp;P of &amp;N</oddFooter>
  </headerFooter>
  <customProperties>
    <customPr name="DVSECTION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8"/>
    <pageSetUpPr fitToPage="1"/>
  </sheetPr>
  <dimension ref="A1:Q32"/>
  <sheetViews>
    <sheetView zoomScaleNormal="100" workbookViewId="0">
      <selection activeCell="A3" sqref="A3"/>
    </sheetView>
  </sheetViews>
  <sheetFormatPr defaultRowHeight="12.75"/>
  <cols>
    <col min="1" max="1" width="26.140625" customWidth="1"/>
    <col min="2" max="2" width="12.85546875" customWidth="1"/>
    <col min="3" max="3" width="14.5703125" customWidth="1"/>
    <col min="4" max="4" width="16.5703125" customWidth="1"/>
    <col min="5" max="5" width="15.7109375" customWidth="1"/>
    <col min="6" max="6" width="16.7109375" customWidth="1"/>
    <col min="7" max="7" width="14.5703125" customWidth="1"/>
    <col min="8" max="8" width="14.85546875" customWidth="1"/>
    <col min="9" max="9" width="9.28515625" bestFit="1" customWidth="1"/>
    <col min="11" max="11" width="14.42578125" customWidth="1"/>
    <col min="12" max="13" width="9.28515625" bestFit="1" customWidth="1"/>
    <col min="15" max="15" width="14.42578125" customWidth="1"/>
    <col min="16" max="16" width="9.28515625" bestFit="1" customWidth="1"/>
    <col min="19" max="19" width="14.7109375" bestFit="1" customWidth="1"/>
    <col min="23" max="23" width="14.7109375" bestFit="1" customWidth="1"/>
  </cols>
  <sheetData>
    <row r="1" spans="1:17" ht="20.25">
      <c r="A1" s="161" t="s">
        <v>123</v>
      </c>
      <c r="B1" s="161"/>
      <c r="C1" s="161"/>
      <c r="D1" s="161"/>
      <c r="E1" s="161"/>
      <c r="F1" s="161"/>
      <c r="G1" s="161"/>
      <c r="H1" s="161"/>
      <c r="I1" s="161"/>
      <c r="J1" s="161"/>
      <c r="K1" s="161"/>
      <c r="L1" s="161"/>
      <c r="M1" s="23"/>
      <c r="N1" s="23"/>
      <c r="O1" s="23"/>
    </row>
    <row r="2" spans="1:17">
      <c r="A2" s="162">
        <v>42086</v>
      </c>
      <c r="B2" s="162"/>
      <c r="C2" s="162"/>
      <c r="D2" s="162"/>
      <c r="E2" s="162"/>
      <c r="F2" s="162"/>
      <c r="G2" s="162"/>
      <c r="H2" s="162"/>
      <c r="I2" s="162"/>
      <c r="J2" s="162"/>
      <c r="K2" s="162"/>
      <c r="L2" s="162"/>
      <c r="M2" s="24"/>
      <c r="N2" s="24"/>
      <c r="O2" s="24"/>
    </row>
    <row r="4" spans="1:17" ht="15.75">
      <c r="B4" s="31" t="s">
        <v>78</v>
      </c>
    </row>
    <row r="5" spans="1:17">
      <c r="A5" s="4" t="s">
        <v>24</v>
      </c>
      <c r="B5" s="14" t="s">
        <v>24</v>
      </c>
      <c r="C5" s="4" t="s">
        <v>24</v>
      </c>
      <c r="E5" s="6" t="s">
        <v>7</v>
      </c>
    </row>
    <row r="6" spans="1:17">
      <c r="A6" s="4" t="s">
        <v>24</v>
      </c>
      <c r="B6" s="25" t="s">
        <v>24</v>
      </c>
      <c r="E6" s="2" t="s">
        <v>6</v>
      </c>
    </row>
    <row r="7" spans="1:17">
      <c r="A7" s="15" t="s">
        <v>95</v>
      </c>
    </row>
    <row r="8" spans="1:17" ht="13.5" thickBot="1"/>
    <row r="9" spans="1:17" s="105" customFormat="1" ht="26.25" thickTop="1">
      <c r="A9" s="116"/>
      <c r="B9" s="119" t="s">
        <v>49</v>
      </c>
      <c r="C9" s="112" t="s">
        <v>48</v>
      </c>
      <c r="D9" s="112" t="s">
        <v>73</v>
      </c>
      <c r="E9" s="120" t="s">
        <v>75</v>
      </c>
      <c r="F9" s="137" t="s">
        <v>77</v>
      </c>
    </row>
    <row r="10" spans="1:17" s="105" customFormat="1" ht="13.5" thickBot="1">
      <c r="A10" s="117"/>
      <c r="B10" s="121" t="s">
        <v>46</v>
      </c>
      <c r="C10" s="113" t="s">
        <v>13</v>
      </c>
      <c r="D10" s="114" t="s">
        <v>74</v>
      </c>
      <c r="E10" s="122" t="s">
        <v>76</v>
      </c>
      <c r="F10" s="138" t="s">
        <v>3</v>
      </c>
    </row>
    <row r="11" spans="1:17" s="105" customFormat="1" ht="27.75" customHeight="1" thickBot="1">
      <c r="A11" s="140" t="s">
        <v>106</v>
      </c>
      <c r="B11" s="141">
        <f>Inputs!D22</f>
        <v>8.34</v>
      </c>
      <c r="C11" s="142">
        <f>Inputs!D23</f>
        <v>1</v>
      </c>
      <c r="D11" s="143">
        <f>Inputs!D21</f>
        <v>2</v>
      </c>
      <c r="E11" s="144">
        <f>Inputs!D16</f>
        <v>3</v>
      </c>
      <c r="F11" s="145">
        <f>D11*E11*365*B11*C11/2000</f>
        <v>9.132299999999999</v>
      </c>
    </row>
    <row r="12" spans="1:17" s="105" customFormat="1" ht="27.75" customHeight="1" thickBot="1">
      <c r="A12" s="118" t="s">
        <v>79</v>
      </c>
      <c r="B12" s="123">
        <f>Inputs!D40</f>
        <v>8.34</v>
      </c>
      <c r="C12" s="115">
        <f>Inputs!D41</f>
        <v>1</v>
      </c>
      <c r="D12" s="134">
        <f>Inputs!D39</f>
        <v>1</v>
      </c>
      <c r="E12" s="135">
        <f>Inputs!D16</f>
        <v>3</v>
      </c>
      <c r="F12" s="139">
        <f>D12*E12*365*B12*C12/2000</f>
        <v>4.5661499999999995</v>
      </c>
    </row>
    <row r="13" spans="1:17" s="105" customFormat="1" ht="27.75" customHeight="1" thickTop="1" thickBot="1">
      <c r="A13" s="118" t="s">
        <v>80</v>
      </c>
      <c r="B13" s="123" t="s">
        <v>24</v>
      </c>
      <c r="C13" s="115"/>
      <c r="D13" s="115" t="s">
        <v>24</v>
      </c>
      <c r="E13" s="124" t="s">
        <v>24</v>
      </c>
      <c r="F13" s="139">
        <f>SUM(F11:F12)</f>
        <v>13.698449999999998</v>
      </c>
    </row>
    <row r="14" spans="1:17" s="95" customFormat="1" ht="14.25" customHeight="1" thickTop="1"/>
    <row r="15" spans="1:17" s="104" customFormat="1" ht="12" hidden="1">
      <c r="A15" s="96" t="s">
        <v>47</v>
      </c>
      <c r="B15" s="97"/>
      <c r="C15" s="98"/>
      <c r="D15" s="99"/>
      <c r="E15" s="99"/>
      <c r="F15" s="99"/>
      <c r="G15" s="98"/>
      <c r="H15" s="100"/>
      <c r="I15" s="101"/>
      <c r="J15" s="102"/>
      <c r="K15" s="102"/>
      <c r="L15" s="102"/>
      <c r="M15" s="102"/>
      <c r="N15" s="102"/>
      <c r="O15" s="102"/>
      <c r="P15" s="102"/>
      <c r="Q15" s="103"/>
    </row>
    <row r="16" spans="1:17">
      <c r="A16" s="32" t="s">
        <v>25</v>
      </c>
    </row>
    <row r="17" spans="1:17">
      <c r="A17" s="33" t="s">
        <v>97</v>
      </c>
    </row>
    <row r="21" spans="1:17">
      <c r="A21" s="15" t="s">
        <v>96</v>
      </c>
    </row>
    <row r="22" spans="1:17">
      <c r="A22" s="15"/>
    </row>
    <row r="23" spans="1:17">
      <c r="A23" s="4" t="s">
        <v>92</v>
      </c>
      <c r="C23" s="25" t="str">
        <f>Inputs!D17</f>
        <v>Y</v>
      </c>
      <c r="D23" s="4" t="s">
        <v>100</v>
      </c>
      <c r="F23" s="146">
        <f>IF(C23="Y", 98%, 0)</f>
        <v>0.98</v>
      </c>
    </row>
    <row r="24" spans="1:17" ht="13.5" thickBot="1">
      <c r="A24" s="4" t="s">
        <v>103</v>
      </c>
    </row>
    <row r="25" spans="1:17" s="105" customFormat="1" ht="29.25" thickTop="1">
      <c r="A25" s="116" t="s">
        <v>24</v>
      </c>
      <c r="B25" s="119" t="s">
        <v>49</v>
      </c>
      <c r="C25" s="112" t="s">
        <v>54</v>
      </c>
      <c r="D25" s="112" t="s">
        <v>73</v>
      </c>
      <c r="E25" s="120" t="s">
        <v>75</v>
      </c>
      <c r="F25" s="112" t="s">
        <v>55</v>
      </c>
      <c r="G25" s="120" t="s">
        <v>102</v>
      </c>
      <c r="H25" s="128" t="s">
        <v>104</v>
      </c>
    </row>
    <row r="26" spans="1:17" s="105" customFormat="1" ht="13.5" thickBot="1">
      <c r="A26" s="117"/>
      <c r="B26" s="121" t="s">
        <v>46</v>
      </c>
      <c r="C26" s="113" t="s">
        <v>13</v>
      </c>
      <c r="D26" s="114" t="s">
        <v>74</v>
      </c>
      <c r="E26" s="122" t="s">
        <v>76</v>
      </c>
      <c r="F26" s="114" t="s">
        <v>13</v>
      </c>
      <c r="G26" s="122" t="s">
        <v>13</v>
      </c>
      <c r="H26" s="129" t="s">
        <v>3</v>
      </c>
    </row>
    <row r="27" spans="1:17" s="105" customFormat="1" ht="27.75" customHeight="1" thickBot="1">
      <c r="A27" s="118" t="s">
        <v>105</v>
      </c>
      <c r="B27" s="123">
        <f>Inputs!D27</f>
        <v>8.34</v>
      </c>
      <c r="C27" s="115">
        <f>Inputs!D28</f>
        <v>1</v>
      </c>
      <c r="D27" s="134">
        <f>Inputs!D26</f>
        <v>1.5</v>
      </c>
      <c r="E27" s="134">
        <f>Inputs!D16</f>
        <v>3</v>
      </c>
      <c r="F27" s="115">
        <f>Inputs!D29</f>
        <v>0.4</v>
      </c>
      <c r="G27" s="126">
        <f>F23</f>
        <v>0.98</v>
      </c>
      <c r="H27" s="130">
        <f>D27*E27*365*B27*C27*(1-F27)*(1-G27)/2000</f>
        <v>8.2190700000000061E-2</v>
      </c>
    </row>
    <row r="28" spans="1:17" s="105" customFormat="1" ht="13.5" thickTop="1">
      <c r="A28" s="127" t="s">
        <v>24</v>
      </c>
      <c r="B28" s="106"/>
      <c r="C28" s="107"/>
      <c r="D28" s="107"/>
      <c r="E28" s="107"/>
      <c r="F28" s="106"/>
      <c r="G28" s="106"/>
      <c r="H28" s="106"/>
      <c r="I28" s="108"/>
      <c r="J28" s="109"/>
      <c r="K28" s="109"/>
      <c r="L28" s="108"/>
      <c r="M28" s="108"/>
      <c r="N28" s="110"/>
      <c r="O28" s="110"/>
      <c r="P28" s="111"/>
      <c r="Q28" s="108"/>
    </row>
    <row r="29" spans="1:17" s="104" customFormat="1" ht="12" hidden="1">
      <c r="A29" s="96" t="s">
        <v>47</v>
      </c>
      <c r="B29" s="97"/>
      <c r="C29" s="98"/>
      <c r="D29" s="99"/>
      <c r="E29" s="99"/>
      <c r="F29" s="99"/>
      <c r="G29" s="98"/>
      <c r="H29" s="100"/>
      <c r="I29" s="101"/>
      <c r="J29" s="102"/>
      <c r="K29" s="102"/>
      <c r="L29" s="102"/>
      <c r="M29" s="102"/>
      <c r="N29" s="102"/>
      <c r="O29" s="102"/>
      <c r="P29" s="102"/>
      <c r="Q29" s="103"/>
    </row>
    <row r="30" spans="1:17">
      <c r="A30" s="32" t="s">
        <v>25</v>
      </c>
    </row>
    <row r="31" spans="1:17">
      <c r="A31" s="33" t="s">
        <v>101</v>
      </c>
    </row>
    <row r="32" spans="1:17">
      <c r="A32" s="4"/>
    </row>
  </sheetData>
  <mergeCells count="2">
    <mergeCell ref="A2:L2"/>
    <mergeCell ref="A1:L1"/>
  </mergeCells>
  <phoneticPr fontId="3" type="noConversion"/>
  <pageMargins left="0.75" right="0.75" top="1" bottom="1" header="0.5" footer="0.5"/>
  <pageSetup scale="75" orientation="landscape" r:id="rId1"/>
  <headerFooter alignWithMargins="0">
    <oddFooter>Page &amp;P of &amp;N</oddFooter>
  </headerFooter>
  <colBreaks count="1" manualBreakCount="1">
    <brk id="11" max="1048575" man="1"/>
  </colBreaks>
  <customProperties>
    <customPr name="DVSECTION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V94"/>
  <sheetViews>
    <sheetView workbookViewId="0">
      <selection activeCell="GM94" sqref="GM94"/>
    </sheetView>
  </sheetViews>
  <sheetFormatPr defaultRowHeight="12.75"/>
  <sheetData>
    <row r="1" spans="1:256">
      <c r="A1" t="e">
        <f>IF(Inputs!1:1,"AAAAAH3zvQA=",0)</f>
        <v>#VALUE!</v>
      </c>
      <c r="B1" t="e">
        <f>AND(Inputs!A1,"AAAAAH3zvQE=")</f>
        <v>#VALUE!</v>
      </c>
      <c r="C1" t="e">
        <f>AND(Inputs!B1,"AAAAAH3zvQI=")</f>
        <v>#VALUE!</v>
      </c>
      <c r="D1" t="e">
        <f>AND(Inputs!C1,"AAAAAH3zvQM=")</f>
        <v>#VALUE!</v>
      </c>
      <c r="E1" t="e">
        <f>AND(Inputs!D1,"AAAAAH3zvQQ=")</f>
        <v>#VALUE!</v>
      </c>
      <c r="F1" t="e">
        <f>AND(Inputs!E1,"AAAAAH3zvQU=")</f>
        <v>#VALUE!</v>
      </c>
      <c r="G1" t="e">
        <f>AND(Inputs!F1,"AAAAAH3zvQY=")</f>
        <v>#VALUE!</v>
      </c>
      <c r="H1" t="e">
        <f>AND(Inputs!G1,"AAAAAH3zvQc=")</f>
        <v>#VALUE!</v>
      </c>
      <c r="I1" t="e">
        <f>AND(Inputs!H1,"AAAAAH3zvQg=")</f>
        <v>#VALUE!</v>
      </c>
      <c r="J1" t="e">
        <f>AND(Inputs!I1,"AAAAAH3zvQk=")</f>
        <v>#VALUE!</v>
      </c>
      <c r="K1" t="e">
        <f>AND(Inputs!J1,"AAAAAH3zvQo=")</f>
        <v>#VALUE!</v>
      </c>
      <c r="L1" t="e">
        <f>AND(Inputs!K1,"AAAAAH3zvQs=")</f>
        <v>#VALUE!</v>
      </c>
      <c r="M1" t="e">
        <f>AND(Inputs!L1,"AAAAAH3zvQw=")</f>
        <v>#VALUE!</v>
      </c>
      <c r="N1" t="e">
        <f>AND(Inputs!M1,"AAAAAH3zvQ0=")</f>
        <v>#VALUE!</v>
      </c>
      <c r="O1">
        <f>IF(Inputs!2:2,"AAAAAH3zvQ4=",0)</f>
        <v>0</v>
      </c>
      <c r="P1" t="e">
        <f>AND(Inputs!A2,"AAAAAH3zvQ8=")</f>
        <v>#VALUE!</v>
      </c>
      <c r="Q1" t="e">
        <f>AND(Inputs!B2,"AAAAAH3zvRA=")</f>
        <v>#VALUE!</v>
      </c>
      <c r="R1" t="e">
        <f>AND(Inputs!C2,"AAAAAH3zvRE=")</f>
        <v>#VALUE!</v>
      </c>
      <c r="S1" t="e">
        <f>AND(Inputs!D2,"AAAAAH3zvRI=")</f>
        <v>#VALUE!</v>
      </c>
      <c r="T1" t="e">
        <f>AND(Inputs!E2,"AAAAAH3zvRM=")</f>
        <v>#VALUE!</v>
      </c>
      <c r="U1" t="e">
        <f>AND(Inputs!F2,"AAAAAH3zvRQ=")</f>
        <v>#VALUE!</v>
      </c>
      <c r="V1" t="e">
        <f>AND(Inputs!G2,"AAAAAH3zvRU=")</f>
        <v>#VALUE!</v>
      </c>
      <c r="W1" t="e">
        <f>AND(Inputs!H2,"AAAAAH3zvRY=")</f>
        <v>#VALUE!</v>
      </c>
      <c r="X1" t="e">
        <f>AND(Inputs!I2,"AAAAAH3zvRc=")</f>
        <v>#VALUE!</v>
      </c>
      <c r="Y1" t="e">
        <f>AND(Inputs!J2,"AAAAAH3zvRg=")</f>
        <v>#VALUE!</v>
      </c>
      <c r="Z1" t="e">
        <f>AND(Inputs!K2,"AAAAAH3zvRk=")</f>
        <v>#VALUE!</v>
      </c>
      <c r="AA1" t="e">
        <f>AND(Inputs!L2,"AAAAAH3zvRo=")</f>
        <v>#VALUE!</v>
      </c>
      <c r="AB1" t="e">
        <f>AND(Inputs!M2,"AAAAAH3zvRs=")</f>
        <v>#VALUE!</v>
      </c>
      <c r="AC1">
        <f>IF(Inputs!3:3,"AAAAAH3zvRw=",0)</f>
        <v>0</v>
      </c>
      <c r="AD1" t="e">
        <f>AND(Inputs!A3,"AAAAAH3zvR0=")</f>
        <v>#VALUE!</v>
      </c>
      <c r="AE1" t="e">
        <f>AND(Inputs!B3,"AAAAAH3zvR4=")</f>
        <v>#VALUE!</v>
      </c>
      <c r="AF1" t="e">
        <f>AND(Inputs!C3,"AAAAAH3zvR8=")</f>
        <v>#VALUE!</v>
      </c>
      <c r="AG1" t="e">
        <f>AND(Inputs!D3,"AAAAAH3zvSA=")</f>
        <v>#VALUE!</v>
      </c>
      <c r="AH1" t="e">
        <f>AND(Inputs!E3,"AAAAAH3zvSE=")</f>
        <v>#VALUE!</v>
      </c>
      <c r="AI1" t="e">
        <f>AND(Inputs!F3,"AAAAAH3zvSI=")</f>
        <v>#VALUE!</v>
      </c>
      <c r="AJ1" t="e">
        <f>AND(Inputs!G3,"AAAAAH3zvSM=")</f>
        <v>#VALUE!</v>
      </c>
      <c r="AK1" t="e">
        <f>AND(Inputs!H3,"AAAAAH3zvSQ=")</f>
        <v>#VALUE!</v>
      </c>
      <c r="AL1" t="e">
        <f>AND(Inputs!I3,"AAAAAH3zvSU=")</f>
        <v>#VALUE!</v>
      </c>
      <c r="AM1" t="e">
        <f>AND(Inputs!J3,"AAAAAH3zvSY=")</f>
        <v>#VALUE!</v>
      </c>
      <c r="AN1" t="e">
        <f>AND(Inputs!K3,"AAAAAH3zvSc=")</f>
        <v>#VALUE!</v>
      </c>
      <c r="AO1" t="e">
        <f>AND(Inputs!L3,"AAAAAH3zvSg=")</f>
        <v>#VALUE!</v>
      </c>
      <c r="AP1" t="e">
        <f>AND(Inputs!M3,"AAAAAH3zvSk=")</f>
        <v>#VALUE!</v>
      </c>
      <c r="AQ1">
        <f>IF(Inputs!4:4,"AAAAAH3zvSo=",0)</f>
        <v>0</v>
      </c>
      <c r="AR1" t="e">
        <f>AND(Inputs!A4,"AAAAAH3zvSs=")</f>
        <v>#VALUE!</v>
      </c>
      <c r="AS1" t="e">
        <f>AND(Inputs!B4,"AAAAAH3zvSw=")</f>
        <v>#VALUE!</v>
      </c>
      <c r="AT1" t="e">
        <f>AND(Inputs!C4,"AAAAAH3zvS0=")</f>
        <v>#VALUE!</v>
      </c>
      <c r="AU1" t="e">
        <f>AND(Inputs!D4,"AAAAAH3zvS4=")</f>
        <v>#VALUE!</v>
      </c>
      <c r="AV1" t="e">
        <f>AND(Inputs!E4,"AAAAAH3zvS8=")</f>
        <v>#VALUE!</v>
      </c>
      <c r="AW1" t="e">
        <f>AND(Inputs!F4,"AAAAAH3zvTA=")</f>
        <v>#VALUE!</v>
      </c>
      <c r="AX1" t="e">
        <f>AND(Inputs!G4,"AAAAAH3zvTE=")</f>
        <v>#VALUE!</v>
      </c>
      <c r="AY1" t="e">
        <f>AND(Inputs!H4,"AAAAAH3zvTI=")</f>
        <v>#VALUE!</v>
      </c>
      <c r="AZ1" t="e">
        <f>AND(Inputs!I4,"AAAAAH3zvTM=")</f>
        <v>#VALUE!</v>
      </c>
      <c r="BA1" t="e">
        <f>AND(Inputs!J4,"AAAAAH3zvTQ=")</f>
        <v>#VALUE!</v>
      </c>
      <c r="BB1" t="e">
        <f>AND(Inputs!K4,"AAAAAH3zvTU=")</f>
        <v>#VALUE!</v>
      </c>
      <c r="BC1" t="e">
        <f>AND(Inputs!L4,"AAAAAH3zvTY=")</f>
        <v>#VALUE!</v>
      </c>
      <c r="BD1" t="e">
        <f>AND(Inputs!M4,"AAAAAH3zvTc=")</f>
        <v>#VALUE!</v>
      </c>
      <c r="BE1">
        <f>IF(Inputs!5:5,"AAAAAH3zvTg=",0)</f>
        <v>0</v>
      </c>
      <c r="BF1" t="e">
        <f>AND(Inputs!A5,"AAAAAH3zvTk=")</f>
        <v>#VALUE!</v>
      </c>
      <c r="BG1" t="e">
        <f>AND(Inputs!B5,"AAAAAH3zvTo=")</f>
        <v>#VALUE!</v>
      </c>
      <c r="BH1" t="e">
        <f>AND(Inputs!C5,"AAAAAH3zvTs=")</f>
        <v>#VALUE!</v>
      </c>
      <c r="BI1" t="e">
        <f>AND(Inputs!D5,"AAAAAH3zvTw=")</f>
        <v>#VALUE!</v>
      </c>
      <c r="BJ1" t="e">
        <f>AND(Inputs!E5,"AAAAAH3zvT0=")</f>
        <v>#VALUE!</v>
      </c>
      <c r="BK1" t="e">
        <f>AND(Inputs!F5,"AAAAAH3zvT4=")</f>
        <v>#VALUE!</v>
      </c>
      <c r="BL1" t="e">
        <f>AND(Inputs!G5,"AAAAAH3zvT8=")</f>
        <v>#VALUE!</v>
      </c>
      <c r="BM1" t="e">
        <f>AND(Inputs!H5,"AAAAAH3zvUA=")</f>
        <v>#VALUE!</v>
      </c>
      <c r="BN1" t="e">
        <f>AND(Inputs!I5,"AAAAAH3zvUE=")</f>
        <v>#VALUE!</v>
      </c>
      <c r="BO1" t="e">
        <f>AND(Inputs!J5,"AAAAAH3zvUI=")</f>
        <v>#VALUE!</v>
      </c>
      <c r="BP1" t="e">
        <f>AND(Inputs!K5,"AAAAAH3zvUM=")</f>
        <v>#VALUE!</v>
      </c>
      <c r="BQ1" t="e">
        <f>AND(Inputs!L5,"AAAAAH3zvUQ=")</f>
        <v>#VALUE!</v>
      </c>
      <c r="BR1" t="e">
        <f>AND(Inputs!M5,"AAAAAH3zvUU=")</f>
        <v>#VALUE!</v>
      </c>
      <c r="BS1">
        <f>IF(Inputs!6:6,"AAAAAH3zvUY=",0)</f>
        <v>0</v>
      </c>
      <c r="BT1" t="e">
        <f>AND(Inputs!A6,"AAAAAH3zvUc=")</f>
        <v>#VALUE!</v>
      </c>
      <c r="BU1" t="e">
        <f>AND(Inputs!B6,"AAAAAH3zvUg=")</f>
        <v>#VALUE!</v>
      </c>
      <c r="BV1" t="e">
        <f>AND(Inputs!C6,"AAAAAH3zvUk=")</f>
        <v>#VALUE!</v>
      </c>
      <c r="BW1" t="e">
        <f>AND(Inputs!D6,"AAAAAH3zvUo=")</f>
        <v>#VALUE!</v>
      </c>
      <c r="BX1" t="e">
        <f>AND(Inputs!E6,"AAAAAH3zvUs=")</f>
        <v>#VALUE!</v>
      </c>
      <c r="BY1" t="e">
        <f>AND(Inputs!F6,"AAAAAH3zvUw=")</f>
        <v>#VALUE!</v>
      </c>
      <c r="BZ1" t="e">
        <f>AND(Inputs!G6,"AAAAAH3zvU0=")</f>
        <v>#VALUE!</v>
      </c>
      <c r="CA1" t="e">
        <f>AND(Inputs!H6,"AAAAAH3zvU4=")</f>
        <v>#VALUE!</v>
      </c>
      <c r="CB1" t="e">
        <f>AND(Inputs!I6,"AAAAAH3zvU8=")</f>
        <v>#VALUE!</v>
      </c>
      <c r="CC1" t="e">
        <f>AND(Inputs!J6,"AAAAAH3zvVA=")</f>
        <v>#VALUE!</v>
      </c>
      <c r="CD1" t="e">
        <f>AND(Inputs!K6,"AAAAAH3zvVE=")</f>
        <v>#VALUE!</v>
      </c>
      <c r="CE1" t="e">
        <f>AND(Inputs!L6,"AAAAAH3zvVI=")</f>
        <v>#VALUE!</v>
      </c>
      <c r="CF1" t="e">
        <f>AND(Inputs!M6,"AAAAAH3zvVM=")</f>
        <v>#VALUE!</v>
      </c>
      <c r="CG1">
        <f>IF(Inputs!7:7,"AAAAAH3zvVQ=",0)</f>
        <v>0</v>
      </c>
      <c r="CH1" t="e">
        <f>AND(Inputs!A7,"AAAAAH3zvVU=")</f>
        <v>#VALUE!</v>
      </c>
      <c r="CI1" t="e">
        <f>AND(Inputs!B7,"AAAAAH3zvVY=")</f>
        <v>#VALUE!</v>
      </c>
      <c r="CJ1" t="e">
        <f>AND(Inputs!C7,"AAAAAH3zvVc=")</f>
        <v>#VALUE!</v>
      </c>
      <c r="CK1" t="e">
        <f>AND(Inputs!D7,"AAAAAH3zvVg=")</f>
        <v>#VALUE!</v>
      </c>
      <c r="CL1" t="e">
        <f>AND(Inputs!E7,"AAAAAH3zvVk=")</f>
        <v>#VALUE!</v>
      </c>
      <c r="CM1" t="e">
        <f>AND(Inputs!F7,"AAAAAH3zvVo=")</f>
        <v>#VALUE!</v>
      </c>
      <c r="CN1" t="e">
        <f>AND(Inputs!G7,"AAAAAH3zvVs=")</f>
        <v>#VALUE!</v>
      </c>
      <c r="CO1" t="e">
        <f>AND(Inputs!H7,"AAAAAH3zvVw=")</f>
        <v>#VALUE!</v>
      </c>
      <c r="CP1" t="e">
        <f>AND(Inputs!I7,"AAAAAH3zvV0=")</f>
        <v>#VALUE!</v>
      </c>
      <c r="CQ1" t="e">
        <f>AND(Inputs!J7,"AAAAAH3zvV4=")</f>
        <v>#VALUE!</v>
      </c>
      <c r="CR1" t="e">
        <f>AND(Inputs!K7,"AAAAAH3zvV8=")</f>
        <v>#VALUE!</v>
      </c>
      <c r="CS1" t="e">
        <f>AND(Inputs!L7,"AAAAAH3zvWA=")</f>
        <v>#VALUE!</v>
      </c>
      <c r="CT1" t="e">
        <f>AND(Inputs!M7,"AAAAAH3zvWE=")</f>
        <v>#VALUE!</v>
      </c>
      <c r="CU1">
        <f>IF(Inputs!8:8,"AAAAAH3zvWI=",0)</f>
        <v>0</v>
      </c>
      <c r="CV1" t="e">
        <f>AND(Inputs!A8,"AAAAAH3zvWM=")</f>
        <v>#VALUE!</v>
      </c>
      <c r="CW1" t="e">
        <f>AND(Inputs!B8,"AAAAAH3zvWQ=")</f>
        <v>#VALUE!</v>
      </c>
      <c r="CX1" t="e">
        <f>AND(Inputs!C8,"AAAAAH3zvWU=")</f>
        <v>#VALUE!</v>
      </c>
      <c r="CY1" t="e">
        <f>AND(Inputs!D8,"AAAAAH3zvWY=")</f>
        <v>#VALUE!</v>
      </c>
      <c r="CZ1" t="e">
        <f>AND(Inputs!E8,"AAAAAH3zvWc=")</f>
        <v>#VALUE!</v>
      </c>
      <c r="DA1" t="e">
        <f>AND(Inputs!F8,"AAAAAH3zvWg=")</f>
        <v>#VALUE!</v>
      </c>
      <c r="DB1" t="e">
        <f>AND(Inputs!G8,"AAAAAH3zvWk=")</f>
        <v>#VALUE!</v>
      </c>
      <c r="DC1" t="e">
        <f>AND(Inputs!H8,"AAAAAH3zvWo=")</f>
        <v>#VALUE!</v>
      </c>
      <c r="DD1" t="e">
        <f>AND(Inputs!I8,"AAAAAH3zvWs=")</f>
        <v>#VALUE!</v>
      </c>
      <c r="DE1" t="e">
        <f>AND(Inputs!J8,"AAAAAH3zvWw=")</f>
        <v>#VALUE!</v>
      </c>
      <c r="DF1" t="e">
        <f>AND(Inputs!K8,"AAAAAH3zvW0=")</f>
        <v>#VALUE!</v>
      </c>
      <c r="DG1" t="e">
        <f>AND(Inputs!L8,"AAAAAH3zvW4=")</f>
        <v>#VALUE!</v>
      </c>
      <c r="DH1" t="e">
        <f>AND(Inputs!M8,"AAAAAH3zvW8=")</f>
        <v>#VALUE!</v>
      </c>
      <c r="DI1">
        <f>IF(Inputs!9:9,"AAAAAH3zvXA=",0)</f>
        <v>0</v>
      </c>
      <c r="DJ1" t="e">
        <f>AND(Inputs!A9,"AAAAAH3zvXE=")</f>
        <v>#VALUE!</v>
      </c>
      <c r="DK1" t="e">
        <f>AND(Inputs!B9,"AAAAAH3zvXI=")</f>
        <v>#VALUE!</v>
      </c>
      <c r="DL1" t="e">
        <f>AND(Inputs!C9,"AAAAAH3zvXM=")</f>
        <v>#VALUE!</v>
      </c>
      <c r="DM1" t="e">
        <f>AND(Inputs!D9,"AAAAAH3zvXQ=")</f>
        <v>#VALUE!</v>
      </c>
      <c r="DN1" t="e">
        <f>AND(Inputs!E9,"AAAAAH3zvXU=")</f>
        <v>#VALUE!</v>
      </c>
      <c r="DO1" t="e">
        <f>AND(Inputs!F9,"AAAAAH3zvXY=")</f>
        <v>#VALUE!</v>
      </c>
      <c r="DP1" t="e">
        <f>AND(Inputs!G9,"AAAAAH3zvXc=")</f>
        <v>#VALUE!</v>
      </c>
      <c r="DQ1" t="e">
        <f>AND(Inputs!H9,"AAAAAH3zvXg=")</f>
        <v>#VALUE!</v>
      </c>
      <c r="DR1" t="e">
        <f>AND(Inputs!I9,"AAAAAH3zvXk=")</f>
        <v>#VALUE!</v>
      </c>
      <c r="DS1" t="e">
        <f>AND(Inputs!J9,"AAAAAH3zvXo=")</f>
        <v>#VALUE!</v>
      </c>
      <c r="DT1" t="e">
        <f>AND(Inputs!K9,"AAAAAH3zvXs=")</f>
        <v>#VALUE!</v>
      </c>
      <c r="DU1" t="e">
        <f>AND(Inputs!L9,"AAAAAH3zvXw=")</f>
        <v>#VALUE!</v>
      </c>
      <c r="DV1" t="e">
        <f>AND(Inputs!M9,"AAAAAH3zvX0=")</f>
        <v>#VALUE!</v>
      </c>
      <c r="DW1">
        <f>IF(Inputs!10:10,"AAAAAH3zvX4=",0)</f>
        <v>0</v>
      </c>
      <c r="DX1" t="e">
        <f>AND(Inputs!A10,"AAAAAH3zvX8=")</f>
        <v>#VALUE!</v>
      </c>
      <c r="DY1" t="e">
        <f>AND(Inputs!B10,"AAAAAH3zvYA=")</f>
        <v>#VALUE!</v>
      </c>
      <c r="DZ1" t="e">
        <f>AND(Inputs!C10,"AAAAAH3zvYE=")</f>
        <v>#VALUE!</v>
      </c>
      <c r="EA1" t="e">
        <f>AND(Inputs!D10,"AAAAAH3zvYI=")</f>
        <v>#VALUE!</v>
      </c>
      <c r="EB1" t="e">
        <f>AND(Inputs!E10,"AAAAAH3zvYM=")</f>
        <v>#VALUE!</v>
      </c>
      <c r="EC1" t="e">
        <f>AND(Inputs!F10,"AAAAAH3zvYQ=")</f>
        <v>#VALUE!</v>
      </c>
      <c r="ED1" t="e">
        <f>AND(Inputs!G10,"AAAAAH3zvYU=")</f>
        <v>#VALUE!</v>
      </c>
      <c r="EE1" t="e">
        <f>AND(Inputs!H10,"AAAAAH3zvYY=")</f>
        <v>#VALUE!</v>
      </c>
      <c r="EF1" t="e">
        <f>AND(Inputs!I10,"AAAAAH3zvYc=")</f>
        <v>#VALUE!</v>
      </c>
      <c r="EG1" t="e">
        <f>AND(Inputs!J10,"AAAAAH3zvYg=")</f>
        <v>#VALUE!</v>
      </c>
      <c r="EH1" t="e">
        <f>AND(Inputs!K10,"AAAAAH3zvYk=")</f>
        <v>#VALUE!</v>
      </c>
      <c r="EI1" t="e">
        <f>AND(Inputs!L10,"AAAAAH3zvYo=")</f>
        <v>#VALUE!</v>
      </c>
      <c r="EJ1" t="e">
        <f>AND(Inputs!M10,"AAAAAH3zvYs=")</f>
        <v>#VALUE!</v>
      </c>
      <c r="EK1">
        <f>IF(Inputs!11:11,"AAAAAH3zvYw=",0)</f>
        <v>0</v>
      </c>
      <c r="EL1" t="e">
        <f>AND(Inputs!A11,"AAAAAH3zvY0=")</f>
        <v>#VALUE!</v>
      </c>
      <c r="EM1" t="e">
        <f>AND(Inputs!B11,"AAAAAH3zvY4=")</f>
        <v>#VALUE!</v>
      </c>
      <c r="EN1" t="e">
        <f>AND(Inputs!C11,"AAAAAH3zvY8=")</f>
        <v>#VALUE!</v>
      </c>
      <c r="EO1" t="e">
        <f>AND(Inputs!D11,"AAAAAH3zvZA=")</f>
        <v>#VALUE!</v>
      </c>
      <c r="EP1" t="e">
        <f>AND(Inputs!E11,"AAAAAH3zvZE=")</f>
        <v>#VALUE!</v>
      </c>
      <c r="EQ1" t="e">
        <f>AND(Inputs!F11,"AAAAAH3zvZI=")</f>
        <v>#VALUE!</v>
      </c>
      <c r="ER1" t="e">
        <f>AND(Inputs!G11,"AAAAAH3zvZM=")</f>
        <v>#VALUE!</v>
      </c>
      <c r="ES1" t="e">
        <f>AND(Inputs!H11,"AAAAAH3zvZQ=")</f>
        <v>#VALUE!</v>
      </c>
      <c r="ET1" t="e">
        <f>AND(Inputs!I11,"AAAAAH3zvZU=")</f>
        <v>#VALUE!</v>
      </c>
      <c r="EU1" t="e">
        <f>AND(Inputs!J11,"AAAAAH3zvZY=")</f>
        <v>#VALUE!</v>
      </c>
      <c r="EV1" t="e">
        <f>AND(Inputs!K11,"AAAAAH3zvZc=")</f>
        <v>#VALUE!</v>
      </c>
      <c r="EW1" t="e">
        <f>AND(Inputs!L11,"AAAAAH3zvZg=")</f>
        <v>#VALUE!</v>
      </c>
      <c r="EX1" t="e">
        <f>AND(Inputs!M11,"AAAAAH3zvZk=")</f>
        <v>#VALUE!</v>
      </c>
      <c r="EY1">
        <f>IF(Inputs!12:12,"AAAAAH3zvZo=",0)</f>
        <v>0</v>
      </c>
      <c r="EZ1" t="e">
        <f>AND(Inputs!A12,"AAAAAH3zvZs=")</f>
        <v>#VALUE!</v>
      </c>
      <c r="FA1" t="e">
        <f>AND(Inputs!B12,"AAAAAH3zvZw=")</f>
        <v>#VALUE!</v>
      </c>
      <c r="FB1" t="e">
        <f>AND(Inputs!C12,"AAAAAH3zvZ0=")</f>
        <v>#VALUE!</v>
      </c>
      <c r="FC1" t="e">
        <f>AND(Inputs!D12,"AAAAAH3zvZ4=")</f>
        <v>#VALUE!</v>
      </c>
      <c r="FD1" t="e">
        <f>AND(Inputs!E12,"AAAAAH3zvZ8=")</f>
        <v>#VALUE!</v>
      </c>
      <c r="FE1" t="e">
        <f>AND(Inputs!F12,"AAAAAH3zvaA=")</f>
        <v>#VALUE!</v>
      </c>
      <c r="FF1" t="e">
        <f>AND(Inputs!G12,"AAAAAH3zvaE=")</f>
        <v>#VALUE!</v>
      </c>
      <c r="FG1" t="e">
        <f>AND(Inputs!H12,"AAAAAH3zvaI=")</f>
        <v>#VALUE!</v>
      </c>
      <c r="FH1" t="e">
        <f>AND(Inputs!I12,"AAAAAH3zvaM=")</f>
        <v>#VALUE!</v>
      </c>
      <c r="FI1" t="e">
        <f>AND(Inputs!J12,"AAAAAH3zvaQ=")</f>
        <v>#VALUE!</v>
      </c>
      <c r="FJ1" t="e">
        <f>AND(Inputs!K12,"AAAAAH3zvaU=")</f>
        <v>#VALUE!</v>
      </c>
      <c r="FK1" t="e">
        <f>AND(Inputs!L12,"AAAAAH3zvaY=")</f>
        <v>#VALUE!</v>
      </c>
      <c r="FL1" t="e">
        <f>AND(Inputs!M12,"AAAAAH3zvac=")</f>
        <v>#VALUE!</v>
      </c>
      <c r="FM1">
        <f>IF(Inputs!13:13,"AAAAAH3zvag=",0)</f>
        <v>0</v>
      </c>
      <c r="FN1" t="e">
        <f>AND(Inputs!A13,"AAAAAH3zvak=")</f>
        <v>#VALUE!</v>
      </c>
      <c r="FO1" t="e">
        <f>AND(Inputs!B13,"AAAAAH3zvao=")</f>
        <v>#VALUE!</v>
      </c>
      <c r="FP1" t="e">
        <f>AND(Inputs!C13,"AAAAAH3zvas=")</f>
        <v>#VALUE!</v>
      </c>
      <c r="FQ1" t="e">
        <f>AND(Inputs!D13,"AAAAAH3zvaw=")</f>
        <v>#VALUE!</v>
      </c>
      <c r="FR1" t="e">
        <f>AND(Inputs!E13,"AAAAAH3zva0=")</f>
        <v>#VALUE!</v>
      </c>
      <c r="FS1" t="e">
        <f>AND(Inputs!F13,"AAAAAH3zva4=")</f>
        <v>#VALUE!</v>
      </c>
      <c r="FT1" t="e">
        <f>AND(Inputs!G13,"AAAAAH3zva8=")</f>
        <v>#VALUE!</v>
      </c>
      <c r="FU1" t="e">
        <f>AND(Inputs!H13,"AAAAAH3zvbA=")</f>
        <v>#VALUE!</v>
      </c>
      <c r="FV1" t="e">
        <f>AND(Inputs!I13,"AAAAAH3zvbE=")</f>
        <v>#VALUE!</v>
      </c>
      <c r="FW1" t="e">
        <f>AND(Inputs!J13,"AAAAAH3zvbI=")</f>
        <v>#VALUE!</v>
      </c>
      <c r="FX1" t="e">
        <f>AND(Inputs!K13,"AAAAAH3zvbM=")</f>
        <v>#VALUE!</v>
      </c>
      <c r="FY1" t="e">
        <f>AND(Inputs!L13,"AAAAAH3zvbQ=")</f>
        <v>#VALUE!</v>
      </c>
      <c r="FZ1" t="e">
        <f>AND(Inputs!M13,"AAAAAH3zvbU=")</f>
        <v>#VALUE!</v>
      </c>
      <c r="GA1">
        <f>IF(Inputs!14:14,"AAAAAH3zvbY=",0)</f>
        <v>0</v>
      </c>
      <c r="GB1" t="e">
        <f>AND(Inputs!A14,"AAAAAH3zvbc=")</f>
        <v>#VALUE!</v>
      </c>
      <c r="GC1" t="e">
        <f>AND(Inputs!B14,"AAAAAH3zvbg=")</f>
        <v>#VALUE!</v>
      </c>
      <c r="GD1" t="e">
        <f>AND(Inputs!C14,"AAAAAH3zvbk=")</f>
        <v>#VALUE!</v>
      </c>
      <c r="GE1" t="e">
        <f>AND(Inputs!D14,"AAAAAH3zvbo=")</f>
        <v>#VALUE!</v>
      </c>
      <c r="GF1" t="e">
        <f>AND(Inputs!E14,"AAAAAH3zvbs=")</f>
        <v>#VALUE!</v>
      </c>
      <c r="GG1" t="e">
        <f>AND(Inputs!F14,"AAAAAH3zvbw=")</f>
        <v>#VALUE!</v>
      </c>
      <c r="GH1" t="e">
        <f>AND(Inputs!G14,"AAAAAH3zvb0=")</f>
        <v>#VALUE!</v>
      </c>
      <c r="GI1" t="e">
        <f>AND(Inputs!H14,"AAAAAH3zvb4=")</f>
        <v>#VALUE!</v>
      </c>
      <c r="GJ1" t="e">
        <f>AND(Inputs!I14,"AAAAAH3zvb8=")</f>
        <v>#VALUE!</v>
      </c>
      <c r="GK1" t="e">
        <f>AND(Inputs!J14,"AAAAAH3zvcA=")</f>
        <v>#VALUE!</v>
      </c>
      <c r="GL1" t="e">
        <f>AND(Inputs!K14,"AAAAAH3zvcE=")</f>
        <v>#VALUE!</v>
      </c>
      <c r="GM1" t="e">
        <f>AND(Inputs!L14,"AAAAAH3zvcI=")</f>
        <v>#VALUE!</v>
      </c>
      <c r="GN1" t="e">
        <f>AND(Inputs!M14,"AAAAAH3zvcM=")</f>
        <v>#VALUE!</v>
      </c>
      <c r="GO1" t="e">
        <f>IF(Inputs!#REF!,"AAAAAH3zvcQ=",0)</f>
        <v>#REF!</v>
      </c>
      <c r="GP1" t="e">
        <f>AND(Inputs!#REF!,"AAAAAH3zvcU=")</f>
        <v>#REF!</v>
      </c>
      <c r="GQ1" t="e">
        <f>AND(Inputs!#REF!,"AAAAAH3zvcY=")</f>
        <v>#REF!</v>
      </c>
      <c r="GR1" t="e">
        <f>AND(Inputs!#REF!,"AAAAAH3zvcc=")</f>
        <v>#REF!</v>
      </c>
      <c r="GS1" t="e">
        <f>AND(Inputs!#REF!,"AAAAAH3zvcg=")</f>
        <v>#REF!</v>
      </c>
      <c r="GT1" t="e">
        <f>AND(Inputs!#REF!,"AAAAAH3zvck=")</f>
        <v>#REF!</v>
      </c>
      <c r="GU1" t="e">
        <f>AND(Inputs!#REF!,"AAAAAH3zvco=")</f>
        <v>#REF!</v>
      </c>
      <c r="GV1" t="e">
        <f>AND(Inputs!#REF!,"AAAAAH3zvcs=")</f>
        <v>#REF!</v>
      </c>
      <c r="GW1" t="e">
        <f>AND(Inputs!#REF!,"AAAAAH3zvcw=")</f>
        <v>#REF!</v>
      </c>
      <c r="GX1" t="e">
        <f>AND(Inputs!#REF!,"AAAAAH3zvc0=")</f>
        <v>#REF!</v>
      </c>
      <c r="GY1" t="e">
        <f>AND(Inputs!#REF!,"AAAAAH3zvc4=")</f>
        <v>#REF!</v>
      </c>
      <c r="GZ1" t="e">
        <f>AND(Inputs!#REF!,"AAAAAH3zvc8=")</f>
        <v>#REF!</v>
      </c>
      <c r="HA1" t="e">
        <f>AND(Inputs!#REF!,"AAAAAH3zvdA=")</f>
        <v>#REF!</v>
      </c>
      <c r="HB1" t="e">
        <f>AND(Inputs!#REF!,"AAAAAH3zvdE=")</f>
        <v>#REF!</v>
      </c>
      <c r="HC1" t="e">
        <f>IF(Inputs!#REF!,"AAAAAH3zvdI=",0)</f>
        <v>#REF!</v>
      </c>
      <c r="HD1" t="e">
        <f>AND(Inputs!#REF!,"AAAAAH3zvdM=")</f>
        <v>#REF!</v>
      </c>
      <c r="HE1" t="e">
        <f>AND(Inputs!#REF!,"AAAAAH3zvdQ=")</f>
        <v>#REF!</v>
      </c>
      <c r="HF1" t="e">
        <f>AND(Inputs!#REF!,"AAAAAH3zvdU=")</f>
        <v>#REF!</v>
      </c>
      <c r="HG1" t="e">
        <f>AND(Inputs!#REF!,"AAAAAH3zvdY=")</f>
        <v>#REF!</v>
      </c>
      <c r="HH1" t="e">
        <f>AND(Inputs!#REF!,"AAAAAH3zvdc=")</f>
        <v>#REF!</v>
      </c>
      <c r="HI1" t="e">
        <f>AND(Inputs!#REF!,"AAAAAH3zvdg=")</f>
        <v>#REF!</v>
      </c>
      <c r="HJ1" t="e">
        <f>AND(Inputs!#REF!,"AAAAAH3zvdk=")</f>
        <v>#REF!</v>
      </c>
      <c r="HK1" t="e">
        <f>AND(Inputs!#REF!,"AAAAAH3zvdo=")</f>
        <v>#REF!</v>
      </c>
      <c r="HL1" t="e">
        <f>AND(Inputs!#REF!,"AAAAAH3zvds=")</f>
        <v>#REF!</v>
      </c>
      <c r="HM1" t="e">
        <f>AND(Inputs!#REF!,"AAAAAH3zvdw=")</f>
        <v>#REF!</v>
      </c>
      <c r="HN1" t="e">
        <f>AND(Inputs!#REF!,"AAAAAH3zvd0=")</f>
        <v>#REF!</v>
      </c>
      <c r="HO1" t="e">
        <f>AND(Inputs!#REF!,"AAAAAH3zvd4=")</f>
        <v>#REF!</v>
      </c>
      <c r="HP1" t="e">
        <f>AND(Inputs!#REF!,"AAAAAH3zvd8=")</f>
        <v>#REF!</v>
      </c>
      <c r="HQ1" t="e">
        <f>IF(Inputs!#REF!,"AAAAAH3zveA=",0)</f>
        <v>#REF!</v>
      </c>
      <c r="HR1" t="e">
        <f>AND(Inputs!#REF!,"AAAAAH3zveE=")</f>
        <v>#REF!</v>
      </c>
      <c r="HS1" t="e">
        <f>AND(Inputs!#REF!,"AAAAAH3zveI=")</f>
        <v>#REF!</v>
      </c>
      <c r="HT1" t="e">
        <f>AND(Inputs!#REF!,"AAAAAH3zveM=")</f>
        <v>#REF!</v>
      </c>
      <c r="HU1" t="e">
        <f>AND(Inputs!#REF!,"AAAAAH3zveQ=")</f>
        <v>#REF!</v>
      </c>
      <c r="HV1" t="e">
        <f>AND(Inputs!#REF!,"AAAAAH3zveU=")</f>
        <v>#REF!</v>
      </c>
      <c r="HW1" t="e">
        <f>AND(Inputs!#REF!,"AAAAAH3zveY=")</f>
        <v>#REF!</v>
      </c>
      <c r="HX1" t="e">
        <f>AND(Inputs!#REF!,"AAAAAH3zvec=")</f>
        <v>#REF!</v>
      </c>
      <c r="HY1" t="e">
        <f>AND(Inputs!#REF!,"AAAAAH3zveg=")</f>
        <v>#REF!</v>
      </c>
      <c r="HZ1" t="e">
        <f>AND(Inputs!#REF!,"AAAAAH3zvek=")</f>
        <v>#REF!</v>
      </c>
      <c r="IA1" t="e">
        <f>AND(Inputs!#REF!,"AAAAAH3zveo=")</f>
        <v>#REF!</v>
      </c>
      <c r="IB1" t="e">
        <f>AND(Inputs!#REF!,"AAAAAH3zves=")</f>
        <v>#REF!</v>
      </c>
      <c r="IC1" t="e">
        <f>AND(Inputs!#REF!,"AAAAAH3zvew=")</f>
        <v>#REF!</v>
      </c>
      <c r="ID1" t="e">
        <f>AND(Inputs!#REF!,"AAAAAH3zve0=")</f>
        <v>#REF!</v>
      </c>
      <c r="IE1">
        <f>IF(Inputs!15:15,"AAAAAH3zve4=",0)</f>
        <v>0</v>
      </c>
      <c r="IF1" t="e">
        <f>AND(Inputs!A15,"AAAAAH3zve8=")</f>
        <v>#VALUE!</v>
      </c>
      <c r="IG1" t="e">
        <f>AND(Inputs!B15,"AAAAAH3zvfA=")</f>
        <v>#VALUE!</v>
      </c>
      <c r="IH1" t="e">
        <f>AND(Inputs!C15,"AAAAAH3zvfE=")</f>
        <v>#VALUE!</v>
      </c>
      <c r="II1" t="e">
        <f>AND(Inputs!D15,"AAAAAH3zvfI=")</f>
        <v>#VALUE!</v>
      </c>
      <c r="IJ1" t="e">
        <f>AND(Inputs!E15,"AAAAAH3zvfM=")</f>
        <v>#VALUE!</v>
      </c>
      <c r="IK1" t="e">
        <f>AND(Inputs!#REF!,"AAAAAH3zvfQ=")</f>
        <v>#REF!</v>
      </c>
      <c r="IL1" t="e">
        <f>AND(Inputs!G15,"AAAAAH3zvfU=")</f>
        <v>#VALUE!</v>
      </c>
      <c r="IM1" t="e">
        <f>AND(Inputs!H15,"AAAAAH3zvfY=")</f>
        <v>#VALUE!</v>
      </c>
      <c r="IN1" t="e">
        <f>AND(Inputs!I15,"AAAAAH3zvfc=")</f>
        <v>#VALUE!</v>
      </c>
      <c r="IO1" t="e">
        <f>AND(Inputs!J15,"AAAAAH3zvfg=")</f>
        <v>#VALUE!</v>
      </c>
      <c r="IP1" t="e">
        <f>AND(Inputs!K15,"AAAAAH3zvfk=")</f>
        <v>#VALUE!</v>
      </c>
      <c r="IQ1" t="e">
        <f>AND(Inputs!L15,"AAAAAH3zvfo=")</f>
        <v>#VALUE!</v>
      </c>
      <c r="IR1" t="e">
        <f>AND(Inputs!M15,"AAAAAH3zvfs=")</f>
        <v>#VALUE!</v>
      </c>
      <c r="IS1">
        <f>IF(Inputs!16:16,"AAAAAH3zvfw=",0)</f>
        <v>0</v>
      </c>
      <c r="IT1" t="e">
        <f>AND(Inputs!A16,"AAAAAH3zvf0=")</f>
        <v>#VALUE!</v>
      </c>
      <c r="IU1" t="e">
        <f>AND(Inputs!B16,"AAAAAH3zvf4=")</f>
        <v>#VALUE!</v>
      </c>
      <c r="IV1" t="e">
        <f>AND(Inputs!C16,"AAAAAH3zvf8=")</f>
        <v>#VALUE!</v>
      </c>
    </row>
    <row r="2" spans="1:256">
      <c r="A2" t="e">
        <f>AND(Inputs!D16,"AAAAADvfbwA=")</f>
        <v>#VALUE!</v>
      </c>
      <c r="B2" t="e">
        <f>AND(Inputs!E16,"AAAAADvfbwE=")</f>
        <v>#VALUE!</v>
      </c>
      <c r="C2" t="e">
        <f>AND(Inputs!#REF!,"AAAAADvfbwI=")</f>
        <v>#REF!</v>
      </c>
      <c r="D2" t="e">
        <f>AND(Inputs!G16,"AAAAADvfbwM=")</f>
        <v>#VALUE!</v>
      </c>
      <c r="E2" t="e">
        <f>AND(Inputs!H16,"AAAAADvfbwQ=")</f>
        <v>#VALUE!</v>
      </c>
      <c r="F2" t="e">
        <f>AND(Inputs!I16,"AAAAADvfbwU=")</f>
        <v>#VALUE!</v>
      </c>
      <c r="G2" t="e">
        <f>AND(Inputs!J16,"AAAAADvfbwY=")</f>
        <v>#VALUE!</v>
      </c>
      <c r="H2" t="e">
        <f>AND(Inputs!K16,"AAAAADvfbwc=")</f>
        <v>#VALUE!</v>
      </c>
      <c r="I2" t="e">
        <f>AND(Inputs!L16,"AAAAADvfbwg=")</f>
        <v>#VALUE!</v>
      </c>
      <c r="J2" t="e">
        <f>AND(Inputs!M16,"AAAAADvfbwk=")</f>
        <v>#VALUE!</v>
      </c>
      <c r="K2" t="e">
        <f>IF(Inputs!#REF!,"AAAAADvfbwo=",0)</f>
        <v>#REF!</v>
      </c>
      <c r="L2" t="e">
        <f>AND(Inputs!#REF!,"AAAAADvfbws=")</f>
        <v>#REF!</v>
      </c>
      <c r="M2" t="e">
        <f>AND(Inputs!#REF!,"AAAAADvfbww=")</f>
        <v>#REF!</v>
      </c>
      <c r="N2" t="e">
        <f>AND(Inputs!#REF!,"AAAAADvfbw0=")</f>
        <v>#REF!</v>
      </c>
      <c r="O2" t="e">
        <f>AND(Inputs!#REF!,"AAAAADvfbw4=")</f>
        <v>#REF!</v>
      </c>
      <c r="P2" t="e">
        <f>AND(Inputs!#REF!,"AAAAADvfbw8=")</f>
        <v>#REF!</v>
      </c>
      <c r="Q2" t="e">
        <f>AND(Inputs!#REF!,"AAAAADvfbxA=")</f>
        <v>#REF!</v>
      </c>
      <c r="R2" t="e">
        <f>AND(Inputs!#REF!,"AAAAADvfbxE=")</f>
        <v>#REF!</v>
      </c>
      <c r="S2" t="e">
        <f>AND(Inputs!#REF!,"AAAAADvfbxI=")</f>
        <v>#REF!</v>
      </c>
      <c r="T2" t="e">
        <f>AND(Inputs!#REF!,"AAAAADvfbxM=")</f>
        <v>#REF!</v>
      </c>
      <c r="U2" t="e">
        <f>AND(Inputs!#REF!,"AAAAADvfbxQ=")</f>
        <v>#REF!</v>
      </c>
      <c r="V2" t="e">
        <f>AND(Inputs!#REF!,"AAAAADvfbxU=")</f>
        <v>#REF!</v>
      </c>
      <c r="W2" t="e">
        <f>AND(Inputs!#REF!,"AAAAADvfbxY=")</f>
        <v>#REF!</v>
      </c>
      <c r="X2" t="e">
        <f>AND(Inputs!#REF!,"AAAAADvfbxc=")</f>
        <v>#REF!</v>
      </c>
      <c r="Y2" t="e">
        <f>IF(Inputs!#REF!,"AAAAADvfbxg=",0)</f>
        <v>#REF!</v>
      </c>
      <c r="Z2" t="e">
        <f>AND(Inputs!#REF!,"AAAAADvfbxk=")</f>
        <v>#REF!</v>
      </c>
      <c r="AA2" t="e">
        <f>AND(Inputs!#REF!,"AAAAADvfbxo=")</f>
        <v>#REF!</v>
      </c>
      <c r="AB2" t="e">
        <f>AND(Inputs!#REF!,"AAAAADvfbxs=")</f>
        <v>#REF!</v>
      </c>
      <c r="AC2" t="e">
        <f>AND(Inputs!#REF!,"AAAAADvfbxw=")</f>
        <v>#REF!</v>
      </c>
      <c r="AD2" t="e">
        <f>AND(Inputs!#REF!,"AAAAADvfbx0=")</f>
        <v>#REF!</v>
      </c>
      <c r="AE2" t="e">
        <f>AND(Inputs!#REF!,"AAAAADvfbx4=")</f>
        <v>#REF!</v>
      </c>
      <c r="AF2" t="e">
        <f>AND(Inputs!#REF!,"AAAAADvfbx8=")</f>
        <v>#REF!</v>
      </c>
      <c r="AG2" t="e">
        <f>AND(Inputs!#REF!,"AAAAADvfbyA=")</f>
        <v>#REF!</v>
      </c>
      <c r="AH2" t="e">
        <f>AND(Inputs!#REF!,"AAAAADvfbyE=")</f>
        <v>#REF!</v>
      </c>
      <c r="AI2" t="e">
        <f>AND(Inputs!#REF!,"AAAAADvfbyI=")</f>
        <v>#REF!</v>
      </c>
      <c r="AJ2" t="e">
        <f>AND(Inputs!#REF!,"AAAAADvfbyM=")</f>
        <v>#REF!</v>
      </c>
      <c r="AK2" t="e">
        <f>AND(Inputs!#REF!,"AAAAADvfbyQ=")</f>
        <v>#REF!</v>
      </c>
      <c r="AL2" t="e">
        <f>AND(Inputs!#REF!,"AAAAADvfbyU=")</f>
        <v>#REF!</v>
      </c>
      <c r="AM2" t="e">
        <f>IF(Inputs!#REF!,"AAAAADvfbyY=",0)</f>
        <v>#REF!</v>
      </c>
      <c r="AN2" t="e">
        <f>AND(Inputs!#REF!,"AAAAADvfbyc=")</f>
        <v>#REF!</v>
      </c>
      <c r="AO2" t="e">
        <f>AND(Inputs!#REF!,"AAAAADvfbyg=")</f>
        <v>#REF!</v>
      </c>
      <c r="AP2" t="e">
        <f>AND(Inputs!#REF!,"AAAAADvfbyk=")</f>
        <v>#REF!</v>
      </c>
      <c r="AQ2" t="e">
        <f>AND(Inputs!#REF!,"AAAAADvfbyo=")</f>
        <v>#REF!</v>
      </c>
      <c r="AR2" t="e">
        <f>AND(Inputs!#REF!,"AAAAADvfbys=")</f>
        <v>#REF!</v>
      </c>
      <c r="AS2" t="e">
        <f>AND(Inputs!#REF!,"AAAAADvfbyw=")</f>
        <v>#REF!</v>
      </c>
      <c r="AT2" t="e">
        <f>AND(Inputs!#REF!,"AAAAADvfby0=")</f>
        <v>#REF!</v>
      </c>
      <c r="AU2" t="e">
        <f>AND(Inputs!#REF!,"AAAAADvfby4=")</f>
        <v>#REF!</v>
      </c>
      <c r="AV2" t="e">
        <f>AND(Inputs!#REF!,"AAAAADvfby8=")</f>
        <v>#REF!</v>
      </c>
      <c r="AW2" t="e">
        <f>AND(Inputs!#REF!,"AAAAADvfbzA=")</f>
        <v>#REF!</v>
      </c>
      <c r="AX2" t="e">
        <f>AND(Inputs!#REF!,"AAAAADvfbzE=")</f>
        <v>#REF!</v>
      </c>
      <c r="AY2" t="e">
        <f>AND(Inputs!#REF!,"AAAAADvfbzI=")</f>
        <v>#REF!</v>
      </c>
      <c r="AZ2" t="e">
        <f>AND(Inputs!#REF!,"AAAAADvfbzM=")</f>
        <v>#REF!</v>
      </c>
      <c r="BA2" t="e">
        <f>IF(Inputs!#REF!,"AAAAADvfbzQ=",0)</f>
        <v>#REF!</v>
      </c>
      <c r="BB2" t="e">
        <f>AND(Inputs!#REF!,"AAAAADvfbzU=")</f>
        <v>#REF!</v>
      </c>
      <c r="BC2" t="e">
        <f>AND(Inputs!#REF!,"AAAAADvfbzY=")</f>
        <v>#REF!</v>
      </c>
      <c r="BD2" t="e">
        <f>AND(Inputs!#REF!,"AAAAADvfbzc=")</f>
        <v>#REF!</v>
      </c>
      <c r="BE2" t="e">
        <f>AND(Inputs!#REF!,"AAAAADvfbzg=")</f>
        <v>#REF!</v>
      </c>
      <c r="BF2" t="e">
        <f>AND(Inputs!#REF!,"AAAAADvfbzk=")</f>
        <v>#REF!</v>
      </c>
      <c r="BG2" t="e">
        <f>AND(Inputs!#REF!,"AAAAADvfbzo=")</f>
        <v>#REF!</v>
      </c>
      <c r="BH2" t="e">
        <f>AND(Inputs!#REF!,"AAAAADvfbzs=")</f>
        <v>#REF!</v>
      </c>
      <c r="BI2" t="e">
        <f>AND(Inputs!#REF!,"AAAAADvfbzw=")</f>
        <v>#REF!</v>
      </c>
      <c r="BJ2" t="e">
        <f>AND(Inputs!#REF!,"AAAAADvfbz0=")</f>
        <v>#REF!</v>
      </c>
      <c r="BK2" t="e">
        <f>AND(Inputs!#REF!,"AAAAADvfbz4=")</f>
        <v>#REF!</v>
      </c>
      <c r="BL2" t="e">
        <f>AND(Inputs!#REF!,"AAAAADvfbz8=")</f>
        <v>#REF!</v>
      </c>
      <c r="BM2" t="e">
        <f>AND(Inputs!#REF!,"AAAAADvfb0A=")</f>
        <v>#REF!</v>
      </c>
      <c r="BN2" t="e">
        <f>AND(Inputs!#REF!,"AAAAADvfb0E=")</f>
        <v>#REF!</v>
      </c>
      <c r="BO2" t="e">
        <f>IF(Inputs!#REF!,"AAAAADvfb0I=",0)</f>
        <v>#REF!</v>
      </c>
      <c r="BP2" t="e">
        <f>AND(Inputs!#REF!,"AAAAADvfb0M=")</f>
        <v>#REF!</v>
      </c>
      <c r="BQ2" t="e">
        <f>AND(Inputs!#REF!,"AAAAADvfb0Q=")</f>
        <v>#REF!</v>
      </c>
      <c r="BR2" t="e">
        <f>AND(Inputs!#REF!,"AAAAADvfb0U=")</f>
        <v>#REF!</v>
      </c>
      <c r="BS2" t="e">
        <f>AND(Inputs!#REF!,"AAAAADvfb0Y=")</f>
        <v>#REF!</v>
      </c>
      <c r="BT2" t="e">
        <f>AND(Inputs!#REF!,"AAAAADvfb0c=")</f>
        <v>#REF!</v>
      </c>
      <c r="BU2" t="e">
        <f>AND(Inputs!#REF!,"AAAAADvfb0g=")</f>
        <v>#REF!</v>
      </c>
      <c r="BV2" t="e">
        <f>AND(Inputs!#REF!,"AAAAADvfb0k=")</f>
        <v>#REF!</v>
      </c>
      <c r="BW2" t="e">
        <f>AND(Inputs!#REF!,"AAAAADvfb0o=")</f>
        <v>#REF!</v>
      </c>
      <c r="BX2" t="e">
        <f>AND(Inputs!#REF!,"AAAAADvfb0s=")</f>
        <v>#REF!</v>
      </c>
      <c r="BY2" t="e">
        <f>AND(Inputs!#REF!,"AAAAADvfb0w=")</f>
        <v>#REF!</v>
      </c>
      <c r="BZ2" t="e">
        <f>AND(Inputs!#REF!,"AAAAADvfb00=")</f>
        <v>#REF!</v>
      </c>
      <c r="CA2" t="e">
        <f>AND(Inputs!#REF!,"AAAAADvfb04=")</f>
        <v>#REF!</v>
      </c>
      <c r="CB2" t="e">
        <f>AND(Inputs!#REF!,"AAAAADvfb08=")</f>
        <v>#REF!</v>
      </c>
      <c r="CC2" t="e">
        <f>IF(Inputs!#REF!,"AAAAADvfb1A=",0)</f>
        <v>#REF!</v>
      </c>
      <c r="CD2" t="e">
        <f>AND(Inputs!#REF!,"AAAAADvfb1E=")</f>
        <v>#REF!</v>
      </c>
      <c r="CE2" t="e">
        <f>AND(Inputs!#REF!,"AAAAADvfb1I=")</f>
        <v>#REF!</v>
      </c>
      <c r="CF2" t="e">
        <f>AND(Inputs!#REF!,"AAAAADvfb1M=")</f>
        <v>#REF!</v>
      </c>
      <c r="CG2" t="e">
        <f>AND(Inputs!#REF!,"AAAAADvfb1Q=")</f>
        <v>#REF!</v>
      </c>
      <c r="CH2" t="e">
        <f>AND(Inputs!#REF!,"AAAAADvfb1U=")</f>
        <v>#REF!</v>
      </c>
      <c r="CI2" t="e">
        <f>AND(Inputs!#REF!,"AAAAADvfb1Y=")</f>
        <v>#REF!</v>
      </c>
      <c r="CJ2" t="e">
        <f>AND(Inputs!#REF!,"AAAAADvfb1c=")</f>
        <v>#REF!</v>
      </c>
      <c r="CK2" t="e">
        <f>AND(Inputs!#REF!,"AAAAADvfb1g=")</f>
        <v>#REF!</v>
      </c>
      <c r="CL2" t="e">
        <f>AND(Inputs!#REF!,"AAAAADvfb1k=")</f>
        <v>#REF!</v>
      </c>
      <c r="CM2" t="e">
        <f>AND(Inputs!#REF!,"AAAAADvfb1o=")</f>
        <v>#REF!</v>
      </c>
      <c r="CN2" t="e">
        <f>AND(Inputs!#REF!,"AAAAADvfb1s=")</f>
        <v>#REF!</v>
      </c>
      <c r="CO2" t="e">
        <f>AND(Inputs!#REF!,"AAAAADvfb1w=")</f>
        <v>#REF!</v>
      </c>
      <c r="CP2" t="e">
        <f>AND(Inputs!#REF!,"AAAAADvfb10=")</f>
        <v>#REF!</v>
      </c>
      <c r="CQ2" t="e">
        <f>IF(Inputs!#REF!,"AAAAADvfb14=",0)</f>
        <v>#REF!</v>
      </c>
      <c r="CR2" t="e">
        <f>AND(Inputs!#REF!,"AAAAADvfb18=")</f>
        <v>#REF!</v>
      </c>
      <c r="CS2" t="e">
        <f>AND(Inputs!#REF!,"AAAAADvfb2A=")</f>
        <v>#REF!</v>
      </c>
      <c r="CT2" t="e">
        <f>AND(Inputs!#REF!,"AAAAADvfb2E=")</f>
        <v>#REF!</v>
      </c>
      <c r="CU2" t="e">
        <f>AND(Inputs!#REF!,"AAAAADvfb2I=")</f>
        <v>#REF!</v>
      </c>
      <c r="CV2" t="e">
        <f>AND(Inputs!#REF!,"AAAAADvfb2M=")</f>
        <v>#REF!</v>
      </c>
      <c r="CW2" t="e">
        <f>AND(Inputs!#REF!,"AAAAADvfb2Q=")</f>
        <v>#REF!</v>
      </c>
      <c r="CX2" t="e">
        <f>AND(Inputs!#REF!,"AAAAADvfb2U=")</f>
        <v>#REF!</v>
      </c>
      <c r="CY2" t="e">
        <f>AND(Inputs!#REF!,"AAAAADvfb2Y=")</f>
        <v>#REF!</v>
      </c>
      <c r="CZ2" t="e">
        <f>AND(Inputs!#REF!,"AAAAADvfb2c=")</f>
        <v>#REF!</v>
      </c>
      <c r="DA2" t="e">
        <f>AND(Inputs!#REF!,"AAAAADvfb2g=")</f>
        <v>#REF!</v>
      </c>
      <c r="DB2" t="e">
        <f>AND(Inputs!#REF!,"AAAAADvfb2k=")</f>
        <v>#REF!</v>
      </c>
      <c r="DC2" t="e">
        <f>AND(Inputs!#REF!,"AAAAADvfb2o=")</f>
        <v>#REF!</v>
      </c>
      <c r="DD2" t="e">
        <f>AND(Inputs!#REF!,"AAAAADvfb2s=")</f>
        <v>#REF!</v>
      </c>
      <c r="DE2" t="e">
        <f>IF(Inputs!#REF!,"AAAAADvfb2w=",0)</f>
        <v>#REF!</v>
      </c>
      <c r="DF2" t="e">
        <f>AND(Inputs!#REF!,"AAAAADvfb20=")</f>
        <v>#REF!</v>
      </c>
      <c r="DG2" t="e">
        <f>AND(Inputs!#REF!,"AAAAADvfb24=")</f>
        <v>#REF!</v>
      </c>
      <c r="DH2" t="e">
        <f>AND(Inputs!#REF!,"AAAAADvfb28=")</f>
        <v>#REF!</v>
      </c>
      <c r="DI2" t="e">
        <f>AND(Inputs!#REF!,"AAAAADvfb3A=")</f>
        <v>#REF!</v>
      </c>
      <c r="DJ2" t="e">
        <f>AND(Inputs!#REF!,"AAAAADvfb3E=")</f>
        <v>#REF!</v>
      </c>
      <c r="DK2" t="e">
        <f>AND(Inputs!#REF!,"AAAAADvfb3I=")</f>
        <v>#REF!</v>
      </c>
      <c r="DL2" t="e">
        <f>AND(Inputs!#REF!,"AAAAADvfb3M=")</f>
        <v>#REF!</v>
      </c>
      <c r="DM2" t="e">
        <f>AND(Inputs!#REF!,"AAAAADvfb3Q=")</f>
        <v>#REF!</v>
      </c>
      <c r="DN2" t="e">
        <f>AND(Inputs!#REF!,"AAAAADvfb3U=")</f>
        <v>#REF!</v>
      </c>
      <c r="DO2" t="e">
        <f>AND(Inputs!#REF!,"AAAAADvfb3Y=")</f>
        <v>#REF!</v>
      </c>
      <c r="DP2" t="e">
        <f>AND(Inputs!#REF!,"AAAAADvfb3c=")</f>
        <v>#REF!</v>
      </c>
      <c r="DQ2" t="e">
        <f>AND(Inputs!#REF!,"AAAAADvfb3g=")</f>
        <v>#REF!</v>
      </c>
      <c r="DR2" t="e">
        <f>AND(Inputs!#REF!,"AAAAADvfb3k=")</f>
        <v>#REF!</v>
      </c>
      <c r="DS2" t="e">
        <f>IF(Inputs!#REF!,"AAAAADvfb3o=",0)</f>
        <v>#REF!</v>
      </c>
      <c r="DT2" t="e">
        <f>AND(Inputs!#REF!,"AAAAADvfb3s=")</f>
        <v>#REF!</v>
      </c>
      <c r="DU2" t="e">
        <f>AND(Inputs!#REF!,"AAAAADvfb3w=")</f>
        <v>#REF!</v>
      </c>
      <c r="DV2" t="e">
        <f>AND(Inputs!#REF!,"AAAAADvfb30=")</f>
        <v>#REF!</v>
      </c>
      <c r="DW2" t="e">
        <f>AND(Inputs!#REF!,"AAAAADvfb34=")</f>
        <v>#REF!</v>
      </c>
      <c r="DX2" t="e">
        <f>AND(Inputs!#REF!,"AAAAADvfb38=")</f>
        <v>#REF!</v>
      </c>
      <c r="DY2" t="e">
        <f>AND(Inputs!#REF!,"AAAAADvfb4A=")</f>
        <v>#REF!</v>
      </c>
      <c r="DZ2" t="e">
        <f>AND(Inputs!#REF!,"AAAAADvfb4E=")</f>
        <v>#REF!</v>
      </c>
      <c r="EA2" t="e">
        <f>AND(Inputs!#REF!,"AAAAADvfb4I=")</f>
        <v>#REF!</v>
      </c>
      <c r="EB2" t="e">
        <f>AND(Inputs!#REF!,"AAAAADvfb4M=")</f>
        <v>#REF!</v>
      </c>
      <c r="EC2" t="e">
        <f>AND(Inputs!#REF!,"AAAAADvfb4Q=")</f>
        <v>#REF!</v>
      </c>
      <c r="ED2" t="e">
        <f>AND(Inputs!#REF!,"AAAAADvfb4U=")</f>
        <v>#REF!</v>
      </c>
      <c r="EE2" t="e">
        <f>AND(Inputs!#REF!,"AAAAADvfb4Y=")</f>
        <v>#REF!</v>
      </c>
      <c r="EF2" t="e">
        <f>AND(Inputs!#REF!,"AAAAADvfb4c=")</f>
        <v>#REF!</v>
      </c>
      <c r="EG2" t="e">
        <f>IF(Inputs!#REF!,"AAAAADvfb4g=",0)</f>
        <v>#REF!</v>
      </c>
      <c r="EH2" t="e">
        <f>AND(Inputs!#REF!,"AAAAADvfb4k=")</f>
        <v>#REF!</v>
      </c>
      <c r="EI2" t="e">
        <f>AND(Inputs!#REF!,"AAAAADvfb4o=")</f>
        <v>#REF!</v>
      </c>
      <c r="EJ2" t="e">
        <f>AND(Inputs!#REF!,"AAAAADvfb4s=")</f>
        <v>#REF!</v>
      </c>
      <c r="EK2" t="e">
        <f>AND(Inputs!#REF!,"AAAAADvfb4w=")</f>
        <v>#REF!</v>
      </c>
      <c r="EL2" t="e">
        <f>AND(Inputs!#REF!,"AAAAADvfb40=")</f>
        <v>#REF!</v>
      </c>
      <c r="EM2" t="e">
        <f>AND(Inputs!#REF!,"AAAAADvfb44=")</f>
        <v>#REF!</v>
      </c>
      <c r="EN2" t="e">
        <f>AND(Inputs!#REF!,"AAAAADvfb48=")</f>
        <v>#REF!</v>
      </c>
      <c r="EO2" t="e">
        <f>AND(Inputs!#REF!,"AAAAADvfb5A=")</f>
        <v>#REF!</v>
      </c>
      <c r="EP2" t="e">
        <f>AND(Inputs!#REF!,"AAAAADvfb5E=")</f>
        <v>#REF!</v>
      </c>
      <c r="EQ2" t="e">
        <f>AND(Inputs!#REF!,"AAAAADvfb5I=")</f>
        <v>#REF!</v>
      </c>
      <c r="ER2" t="e">
        <f>AND(Inputs!#REF!,"AAAAADvfb5M=")</f>
        <v>#REF!</v>
      </c>
      <c r="ES2" t="e">
        <f>AND(Inputs!#REF!,"AAAAADvfb5Q=")</f>
        <v>#REF!</v>
      </c>
      <c r="ET2" t="e">
        <f>AND(Inputs!#REF!,"AAAAADvfb5U=")</f>
        <v>#REF!</v>
      </c>
      <c r="EU2" t="e">
        <f>IF(Inputs!#REF!,"AAAAADvfb5Y=",0)</f>
        <v>#REF!</v>
      </c>
      <c r="EV2" t="e">
        <f>AND(Inputs!#REF!,"AAAAADvfb5c=")</f>
        <v>#REF!</v>
      </c>
      <c r="EW2" t="e">
        <f>AND(Inputs!#REF!,"AAAAADvfb5g=")</f>
        <v>#REF!</v>
      </c>
      <c r="EX2" t="e">
        <f>AND(Inputs!#REF!,"AAAAADvfb5k=")</f>
        <v>#REF!</v>
      </c>
      <c r="EY2" t="e">
        <f>AND(Inputs!#REF!,"AAAAADvfb5o=")</f>
        <v>#REF!</v>
      </c>
      <c r="EZ2" t="e">
        <f>AND(Inputs!#REF!,"AAAAADvfb5s=")</f>
        <v>#REF!</v>
      </c>
      <c r="FA2" t="e">
        <f>AND(Inputs!#REF!,"AAAAADvfb5w=")</f>
        <v>#REF!</v>
      </c>
      <c r="FB2" t="e">
        <f>AND(Inputs!#REF!,"AAAAADvfb50=")</f>
        <v>#REF!</v>
      </c>
      <c r="FC2" t="e">
        <f>AND(Inputs!#REF!,"AAAAADvfb54=")</f>
        <v>#REF!</v>
      </c>
      <c r="FD2" t="e">
        <f>AND(Inputs!#REF!,"AAAAADvfb58=")</f>
        <v>#REF!</v>
      </c>
      <c r="FE2" t="e">
        <f>AND(Inputs!#REF!,"AAAAADvfb6A=")</f>
        <v>#REF!</v>
      </c>
      <c r="FF2" t="e">
        <f>AND(Inputs!#REF!,"AAAAADvfb6E=")</f>
        <v>#REF!</v>
      </c>
      <c r="FG2" t="e">
        <f>AND(Inputs!#REF!,"AAAAADvfb6I=")</f>
        <v>#REF!</v>
      </c>
      <c r="FH2" t="e">
        <f>AND(Inputs!#REF!,"AAAAADvfb6M=")</f>
        <v>#REF!</v>
      </c>
      <c r="FI2" t="e">
        <f>IF(Inputs!#REF!,"AAAAADvfb6Q=",0)</f>
        <v>#REF!</v>
      </c>
      <c r="FJ2" t="e">
        <f>AND(Inputs!#REF!,"AAAAADvfb6U=")</f>
        <v>#REF!</v>
      </c>
      <c r="FK2" t="e">
        <f>AND(Inputs!#REF!,"AAAAADvfb6Y=")</f>
        <v>#REF!</v>
      </c>
      <c r="FL2" t="e">
        <f>AND(Inputs!#REF!,"AAAAADvfb6c=")</f>
        <v>#REF!</v>
      </c>
      <c r="FM2" t="e">
        <f>AND(Inputs!#REF!,"AAAAADvfb6g=")</f>
        <v>#REF!</v>
      </c>
      <c r="FN2" t="e">
        <f>AND(Inputs!#REF!,"AAAAADvfb6k=")</f>
        <v>#REF!</v>
      </c>
      <c r="FO2" t="e">
        <f>AND(Inputs!#REF!,"AAAAADvfb6o=")</f>
        <v>#REF!</v>
      </c>
      <c r="FP2" t="e">
        <f>AND(Inputs!#REF!,"AAAAADvfb6s=")</f>
        <v>#REF!</v>
      </c>
      <c r="FQ2" t="e">
        <f>AND(Inputs!#REF!,"AAAAADvfb6w=")</f>
        <v>#REF!</v>
      </c>
      <c r="FR2" t="e">
        <f>AND(Inputs!#REF!,"AAAAADvfb60=")</f>
        <v>#REF!</v>
      </c>
      <c r="FS2" t="e">
        <f>AND(Inputs!#REF!,"AAAAADvfb64=")</f>
        <v>#REF!</v>
      </c>
      <c r="FT2" t="e">
        <f>AND(Inputs!#REF!,"AAAAADvfb68=")</f>
        <v>#REF!</v>
      </c>
      <c r="FU2" t="e">
        <f>AND(Inputs!#REF!,"AAAAADvfb7A=")</f>
        <v>#REF!</v>
      </c>
      <c r="FV2" t="e">
        <f>AND(Inputs!#REF!,"AAAAADvfb7E=")</f>
        <v>#REF!</v>
      </c>
      <c r="FW2" t="e">
        <f>IF(Inputs!#REF!,"AAAAADvfb7I=",0)</f>
        <v>#REF!</v>
      </c>
      <c r="FX2" t="e">
        <f>AND(Inputs!#REF!,"AAAAADvfb7M=")</f>
        <v>#REF!</v>
      </c>
      <c r="FY2" t="e">
        <f>AND(Inputs!#REF!,"AAAAADvfb7Q=")</f>
        <v>#REF!</v>
      </c>
      <c r="FZ2" t="e">
        <f>AND(Inputs!#REF!,"AAAAADvfb7U=")</f>
        <v>#REF!</v>
      </c>
      <c r="GA2" t="e">
        <f>AND(Inputs!#REF!,"AAAAADvfb7Y=")</f>
        <v>#REF!</v>
      </c>
      <c r="GB2" t="e">
        <f>AND(Inputs!#REF!,"AAAAADvfb7c=")</f>
        <v>#REF!</v>
      </c>
      <c r="GC2" t="e">
        <f>AND(Inputs!#REF!,"AAAAADvfb7g=")</f>
        <v>#REF!</v>
      </c>
      <c r="GD2" t="e">
        <f>AND(Inputs!#REF!,"AAAAADvfb7k=")</f>
        <v>#REF!</v>
      </c>
      <c r="GE2" t="e">
        <f>AND(Inputs!#REF!,"AAAAADvfb7o=")</f>
        <v>#REF!</v>
      </c>
      <c r="GF2" t="e">
        <f>AND(Inputs!#REF!,"AAAAADvfb7s=")</f>
        <v>#REF!</v>
      </c>
      <c r="GG2" t="e">
        <f>AND(Inputs!#REF!,"AAAAADvfb7w=")</f>
        <v>#REF!</v>
      </c>
      <c r="GH2" t="e">
        <f>AND(Inputs!#REF!,"AAAAADvfb70=")</f>
        <v>#REF!</v>
      </c>
      <c r="GI2" t="e">
        <f>AND(Inputs!#REF!,"AAAAADvfb74=")</f>
        <v>#REF!</v>
      </c>
      <c r="GJ2" t="e">
        <f>AND(Inputs!#REF!,"AAAAADvfb78=")</f>
        <v>#REF!</v>
      </c>
      <c r="GK2" t="e">
        <f>IF(Inputs!#REF!,"AAAAADvfb8A=",0)</f>
        <v>#REF!</v>
      </c>
      <c r="GL2" t="e">
        <f>AND(Inputs!#REF!,"AAAAADvfb8E=")</f>
        <v>#REF!</v>
      </c>
      <c r="GM2" t="e">
        <f>AND(Inputs!#REF!,"AAAAADvfb8I=")</f>
        <v>#REF!</v>
      </c>
      <c r="GN2" t="e">
        <f>AND(Inputs!#REF!,"AAAAADvfb8M=")</f>
        <v>#REF!</v>
      </c>
      <c r="GO2" t="e">
        <f>AND(Inputs!#REF!,"AAAAADvfb8Q=")</f>
        <v>#REF!</v>
      </c>
      <c r="GP2" t="e">
        <f>AND(Inputs!#REF!,"AAAAADvfb8U=")</f>
        <v>#REF!</v>
      </c>
      <c r="GQ2" t="e">
        <f>AND(Inputs!#REF!,"AAAAADvfb8Y=")</f>
        <v>#REF!</v>
      </c>
      <c r="GR2" t="e">
        <f>AND(Inputs!#REF!,"AAAAADvfb8c=")</f>
        <v>#REF!</v>
      </c>
      <c r="GS2" t="e">
        <f>AND(Inputs!#REF!,"AAAAADvfb8g=")</f>
        <v>#REF!</v>
      </c>
      <c r="GT2" t="e">
        <f>AND(Inputs!#REF!,"AAAAADvfb8k=")</f>
        <v>#REF!</v>
      </c>
      <c r="GU2" t="e">
        <f>AND(Inputs!#REF!,"AAAAADvfb8o=")</f>
        <v>#REF!</v>
      </c>
      <c r="GV2" t="e">
        <f>AND(Inputs!#REF!,"AAAAADvfb8s=")</f>
        <v>#REF!</v>
      </c>
      <c r="GW2" t="e">
        <f>AND(Inputs!#REF!,"AAAAADvfb8w=")</f>
        <v>#REF!</v>
      </c>
      <c r="GX2" t="e">
        <f>AND(Inputs!#REF!,"AAAAADvfb80=")</f>
        <v>#REF!</v>
      </c>
      <c r="GY2" t="e">
        <f>IF(Inputs!#REF!,"AAAAADvfb84=",0)</f>
        <v>#REF!</v>
      </c>
      <c r="GZ2" t="e">
        <f>AND(Inputs!#REF!,"AAAAADvfb88=")</f>
        <v>#REF!</v>
      </c>
      <c r="HA2" t="e">
        <f>AND(Inputs!#REF!,"AAAAADvfb9A=")</f>
        <v>#REF!</v>
      </c>
      <c r="HB2" t="e">
        <f>AND(Inputs!#REF!,"AAAAADvfb9E=")</f>
        <v>#REF!</v>
      </c>
      <c r="HC2" t="e">
        <f>AND(Inputs!#REF!,"AAAAADvfb9I=")</f>
        <v>#REF!</v>
      </c>
      <c r="HD2" t="e">
        <f>AND(Inputs!#REF!,"AAAAADvfb9M=")</f>
        <v>#REF!</v>
      </c>
      <c r="HE2" t="e">
        <f>AND(Inputs!#REF!,"AAAAADvfb9Q=")</f>
        <v>#REF!</v>
      </c>
      <c r="HF2" t="e">
        <f>AND(Inputs!#REF!,"AAAAADvfb9U=")</f>
        <v>#REF!</v>
      </c>
      <c r="HG2" t="e">
        <f>AND(Inputs!#REF!,"AAAAADvfb9Y=")</f>
        <v>#REF!</v>
      </c>
      <c r="HH2" t="e">
        <f>AND(Inputs!#REF!,"AAAAADvfb9c=")</f>
        <v>#REF!</v>
      </c>
      <c r="HI2" t="e">
        <f>AND(Inputs!#REF!,"AAAAADvfb9g=")</f>
        <v>#REF!</v>
      </c>
      <c r="HJ2" t="e">
        <f>AND(Inputs!#REF!,"AAAAADvfb9k=")</f>
        <v>#REF!</v>
      </c>
      <c r="HK2" t="e">
        <f>AND(Inputs!#REF!,"AAAAADvfb9o=")</f>
        <v>#REF!</v>
      </c>
      <c r="HL2" t="e">
        <f>AND(Inputs!#REF!,"AAAAADvfb9s=")</f>
        <v>#REF!</v>
      </c>
      <c r="HM2" t="e">
        <f>IF(Inputs!#REF!,"AAAAADvfb9w=",0)</f>
        <v>#REF!</v>
      </c>
      <c r="HN2" t="e">
        <f>AND(Inputs!#REF!,"AAAAADvfb90=")</f>
        <v>#REF!</v>
      </c>
      <c r="HO2" t="e">
        <f>AND(Inputs!#REF!,"AAAAADvfb94=")</f>
        <v>#REF!</v>
      </c>
      <c r="HP2" t="e">
        <f>AND(Inputs!#REF!,"AAAAADvfb98=")</f>
        <v>#REF!</v>
      </c>
      <c r="HQ2" t="e">
        <f>AND(Inputs!#REF!,"AAAAADvfb+A=")</f>
        <v>#REF!</v>
      </c>
      <c r="HR2" t="e">
        <f>AND(Inputs!#REF!,"AAAAADvfb+E=")</f>
        <v>#REF!</v>
      </c>
      <c r="HS2" t="e">
        <f>AND(Inputs!#REF!,"AAAAADvfb+I=")</f>
        <v>#REF!</v>
      </c>
      <c r="HT2" t="e">
        <f>AND(Inputs!#REF!,"AAAAADvfb+M=")</f>
        <v>#REF!</v>
      </c>
      <c r="HU2" t="e">
        <f>AND(Inputs!#REF!,"AAAAADvfb+Q=")</f>
        <v>#REF!</v>
      </c>
      <c r="HV2" t="e">
        <f>AND(Inputs!#REF!,"AAAAADvfb+U=")</f>
        <v>#REF!</v>
      </c>
      <c r="HW2" t="e">
        <f>AND(Inputs!#REF!,"AAAAADvfb+Y=")</f>
        <v>#REF!</v>
      </c>
      <c r="HX2" t="e">
        <f>AND(Inputs!#REF!,"AAAAADvfb+c=")</f>
        <v>#REF!</v>
      </c>
      <c r="HY2" t="e">
        <f>AND(Inputs!#REF!,"AAAAADvfb+g=")</f>
        <v>#REF!</v>
      </c>
      <c r="HZ2" t="e">
        <f>AND(Inputs!#REF!,"AAAAADvfb+k=")</f>
        <v>#REF!</v>
      </c>
      <c r="IA2" t="e">
        <f>IF(Inputs!#REF!,"AAAAADvfb+o=",0)</f>
        <v>#REF!</v>
      </c>
      <c r="IB2" t="e">
        <f>AND(Inputs!#REF!,"AAAAADvfb+s=")</f>
        <v>#REF!</v>
      </c>
      <c r="IC2" t="e">
        <f>AND(Inputs!#REF!,"AAAAADvfb+w=")</f>
        <v>#REF!</v>
      </c>
      <c r="ID2" t="e">
        <f>AND(Inputs!#REF!,"AAAAADvfb+0=")</f>
        <v>#REF!</v>
      </c>
      <c r="IE2" t="e">
        <f>AND(Inputs!#REF!,"AAAAADvfb+4=")</f>
        <v>#REF!</v>
      </c>
      <c r="IF2" t="e">
        <f>AND(Inputs!#REF!,"AAAAADvfb+8=")</f>
        <v>#REF!</v>
      </c>
      <c r="IG2" t="e">
        <f>AND(Inputs!#REF!,"AAAAADvfb/A=")</f>
        <v>#REF!</v>
      </c>
      <c r="IH2" t="e">
        <f>AND(Inputs!#REF!,"AAAAADvfb/E=")</f>
        <v>#REF!</v>
      </c>
      <c r="II2" t="e">
        <f>AND(Inputs!#REF!,"AAAAADvfb/I=")</f>
        <v>#REF!</v>
      </c>
      <c r="IJ2" t="e">
        <f>AND(Inputs!#REF!,"AAAAADvfb/M=")</f>
        <v>#REF!</v>
      </c>
      <c r="IK2" t="e">
        <f>AND(Inputs!#REF!,"AAAAADvfb/Q=")</f>
        <v>#REF!</v>
      </c>
      <c r="IL2" t="e">
        <f>AND(Inputs!#REF!,"AAAAADvfb/U=")</f>
        <v>#REF!</v>
      </c>
      <c r="IM2" t="e">
        <f>AND(Inputs!#REF!,"AAAAADvfb/Y=")</f>
        <v>#REF!</v>
      </c>
      <c r="IN2" t="e">
        <f>AND(Inputs!#REF!,"AAAAADvfb/c=")</f>
        <v>#REF!</v>
      </c>
      <c r="IO2" t="e">
        <f>IF(Inputs!#REF!,"AAAAADvfb/g=",0)</f>
        <v>#REF!</v>
      </c>
      <c r="IP2" t="e">
        <f>AND(Inputs!#REF!,"AAAAADvfb/k=")</f>
        <v>#REF!</v>
      </c>
      <c r="IQ2" t="e">
        <f>AND(Inputs!#REF!,"AAAAADvfb/o=")</f>
        <v>#REF!</v>
      </c>
      <c r="IR2" t="e">
        <f>AND(Inputs!#REF!,"AAAAADvfb/s=")</f>
        <v>#REF!</v>
      </c>
      <c r="IS2" t="e">
        <f>AND(Inputs!#REF!,"AAAAADvfb/w=")</f>
        <v>#REF!</v>
      </c>
      <c r="IT2" t="e">
        <f>AND(Inputs!#REF!,"AAAAADvfb/0=")</f>
        <v>#REF!</v>
      </c>
      <c r="IU2" t="e">
        <f>AND(Inputs!#REF!,"AAAAADvfb/4=")</f>
        <v>#REF!</v>
      </c>
      <c r="IV2" t="e">
        <f>AND(Inputs!#REF!,"AAAAADvfb/8=")</f>
        <v>#REF!</v>
      </c>
    </row>
    <row r="3" spans="1:256">
      <c r="A3" t="e">
        <f>AND(Inputs!#REF!,"AAAAADZv8wA=")</f>
        <v>#REF!</v>
      </c>
      <c r="B3" t="e">
        <f>AND(Inputs!#REF!,"AAAAADZv8wE=")</f>
        <v>#REF!</v>
      </c>
      <c r="C3" t="e">
        <f>AND(Inputs!#REF!,"AAAAADZv8wI=")</f>
        <v>#REF!</v>
      </c>
      <c r="D3" t="e">
        <f>AND(Inputs!#REF!,"AAAAADZv8wM=")</f>
        <v>#REF!</v>
      </c>
      <c r="E3" t="e">
        <f>AND(Inputs!#REF!,"AAAAADZv8wQ=")</f>
        <v>#REF!</v>
      </c>
      <c r="F3" t="e">
        <f>AND(Inputs!#REF!,"AAAAADZv8wU=")</f>
        <v>#REF!</v>
      </c>
      <c r="G3" t="e">
        <f>IF(Inputs!#REF!,"AAAAADZv8wY=",0)</f>
        <v>#REF!</v>
      </c>
      <c r="H3" t="e">
        <f>AND(Inputs!#REF!,"AAAAADZv8wc=")</f>
        <v>#REF!</v>
      </c>
      <c r="I3" t="e">
        <f>AND(Inputs!#REF!,"AAAAADZv8wg=")</f>
        <v>#REF!</v>
      </c>
      <c r="J3" t="e">
        <f>AND(Inputs!#REF!,"AAAAADZv8wk=")</f>
        <v>#REF!</v>
      </c>
      <c r="K3" t="e">
        <f>AND(Inputs!#REF!,"AAAAADZv8wo=")</f>
        <v>#REF!</v>
      </c>
      <c r="L3" t="e">
        <f>AND(Inputs!#REF!,"AAAAADZv8ws=")</f>
        <v>#REF!</v>
      </c>
      <c r="M3" t="e">
        <f>AND(Inputs!#REF!,"AAAAADZv8ww=")</f>
        <v>#REF!</v>
      </c>
      <c r="N3" t="e">
        <f>AND(Inputs!#REF!,"AAAAADZv8w0=")</f>
        <v>#REF!</v>
      </c>
      <c r="O3" t="e">
        <f>AND(Inputs!#REF!,"AAAAADZv8w4=")</f>
        <v>#REF!</v>
      </c>
      <c r="P3" t="e">
        <f>AND(Inputs!#REF!,"AAAAADZv8w8=")</f>
        <v>#REF!</v>
      </c>
      <c r="Q3" t="e">
        <f>AND(Inputs!#REF!,"AAAAADZv8xA=")</f>
        <v>#REF!</v>
      </c>
      <c r="R3" t="e">
        <f>AND(Inputs!#REF!,"AAAAADZv8xE=")</f>
        <v>#REF!</v>
      </c>
      <c r="S3" t="e">
        <f>AND(Inputs!#REF!,"AAAAADZv8xI=")</f>
        <v>#REF!</v>
      </c>
      <c r="T3" t="e">
        <f>AND(Inputs!#REF!,"AAAAADZv8xM=")</f>
        <v>#REF!</v>
      </c>
      <c r="U3" t="e">
        <f>IF(Inputs!#REF!,"AAAAADZv8xQ=",0)</f>
        <v>#REF!</v>
      </c>
      <c r="V3" t="e">
        <f>AND(Inputs!#REF!,"AAAAADZv8xU=")</f>
        <v>#REF!</v>
      </c>
      <c r="W3" t="e">
        <f>AND(Inputs!#REF!,"AAAAADZv8xY=")</f>
        <v>#REF!</v>
      </c>
      <c r="X3" t="e">
        <f>AND(Inputs!#REF!,"AAAAADZv8xc=")</f>
        <v>#REF!</v>
      </c>
      <c r="Y3" t="e">
        <f>AND(Inputs!#REF!,"AAAAADZv8xg=")</f>
        <v>#REF!</v>
      </c>
      <c r="Z3" t="e">
        <f>AND(Inputs!#REF!,"AAAAADZv8xk=")</f>
        <v>#REF!</v>
      </c>
      <c r="AA3" t="e">
        <f>AND(Inputs!#REF!,"AAAAADZv8xo=")</f>
        <v>#REF!</v>
      </c>
      <c r="AB3" t="e">
        <f>AND(Inputs!#REF!,"AAAAADZv8xs=")</f>
        <v>#REF!</v>
      </c>
      <c r="AC3" t="e">
        <f>AND(Inputs!#REF!,"AAAAADZv8xw=")</f>
        <v>#REF!</v>
      </c>
      <c r="AD3" t="e">
        <f>AND(Inputs!#REF!,"AAAAADZv8x0=")</f>
        <v>#REF!</v>
      </c>
      <c r="AE3" t="e">
        <f>AND(Inputs!#REF!,"AAAAADZv8x4=")</f>
        <v>#REF!</v>
      </c>
      <c r="AF3" t="e">
        <f>AND(Inputs!#REF!,"AAAAADZv8x8=")</f>
        <v>#REF!</v>
      </c>
      <c r="AG3" t="e">
        <f>AND(Inputs!#REF!,"AAAAADZv8yA=")</f>
        <v>#REF!</v>
      </c>
      <c r="AH3" t="e">
        <f>AND(Inputs!#REF!,"AAAAADZv8yE=")</f>
        <v>#REF!</v>
      </c>
      <c r="AI3" t="e">
        <f>IF(Inputs!#REF!,"AAAAADZv8yI=",0)</f>
        <v>#REF!</v>
      </c>
      <c r="AJ3" t="e">
        <f>AND(Inputs!#REF!,"AAAAADZv8yM=")</f>
        <v>#REF!</v>
      </c>
      <c r="AK3" t="e">
        <f>AND(Inputs!#REF!,"AAAAADZv8yQ=")</f>
        <v>#REF!</v>
      </c>
      <c r="AL3" t="e">
        <f>AND(Inputs!#REF!,"AAAAADZv8yU=")</f>
        <v>#REF!</v>
      </c>
      <c r="AM3" t="e">
        <f>AND(Inputs!#REF!,"AAAAADZv8yY=")</f>
        <v>#REF!</v>
      </c>
      <c r="AN3" t="e">
        <f>AND(Inputs!#REF!,"AAAAADZv8yc=")</f>
        <v>#REF!</v>
      </c>
      <c r="AO3" t="e">
        <f>AND(Inputs!#REF!,"AAAAADZv8yg=")</f>
        <v>#REF!</v>
      </c>
      <c r="AP3" t="e">
        <f>AND(Inputs!#REF!,"AAAAADZv8yk=")</f>
        <v>#REF!</v>
      </c>
      <c r="AQ3" t="e">
        <f>AND(Inputs!#REF!,"AAAAADZv8yo=")</f>
        <v>#REF!</v>
      </c>
      <c r="AR3" t="e">
        <f>AND(Inputs!#REF!,"AAAAADZv8ys=")</f>
        <v>#REF!</v>
      </c>
      <c r="AS3" t="e">
        <f>AND(Inputs!#REF!,"AAAAADZv8yw=")</f>
        <v>#REF!</v>
      </c>
      <c r="AT3" t="e">
        <f>AND(Inputs!#REF!,"AAAAADZv8y0=")</f>
        <v>#REF!</v>
      </c>
      <c r="AU3" t="e">
        <f>AND(Inputs!#REF!,"AAAAADZv8y4=")</f>
        <v>#REF!</v>
      </c>
      <c r="AV3" t="e">
        <f>AND(Inputs!#REF!,"AAAAADZv8y8=")</f>
        <v>#REF!</v>
      </c>
      <c r="AW3">
        <f>IF(Inputs!27:27,"AAAAADZv8zA=",0)</f>
        <v>0</v>
      </c>
      <c r="AX3" t="e">
        <f>AND(Inputs!A27,"AAAAADZv8zE=")</f>
        <v>#VALUE!</v>
      </c>
      <c r="AY3" t="e">
        <f>AND(Inputs!B27,"AAAAADZv8zI=")</f>
        <v>#VALUE!</v>
      </c>
      <c r="AZ3" t="e">
        <f>AND(Inputs!C27,"AAAAADZv8zM=")</f>
        <v>#VALUE!</v>
      </c>
      <c r="BA3" t="e">
        <f>AND(Inputs!D27,"AAAAADZv8zQ=")</f>
        <v>#VALUE!</v>
      </c>
      <c r="BB3" t="e">
        <f>AND(Inputs!E27,"AAAAADZv8zU=")</f>
        <v>#VALUE!</v>
      </c>
      <c r="BC3" t="e">
        <f>AND(Inputs!F27,"AAAAADZv8zY=")</f>
        <v>#VALUE!</v>
      </c>
      <c r="BD3" t="e">
        <f>AND(Inputs!G27,"AAAAADZv8zc=")</f>
        <v>#VALUE!</v>
      </c>
      <c r="BE3" t="e">
        <f>AND(Inputs!H27,"AAAAADZv8zg=")</f>
        <v>#VALUE!</v>
      </c>
      <c r="BF3" t="e">
        <f>AND(Inputs!I27,"AAAAADZv8zk=")</f>
        <v>#VALUE!</v>
      </c>
      <c r="BG3" t="e">
        <f>AND(Inputs!J27,"AAAAADZv8zo=")</f>
        <v>#VALUE!</v>
      </c>
      <c r="BH3" t="e">
        <f>AND(Inputs!K27,"AAAAADZv8zs=")</f>
        <v>#VALUE!</v>
      </c>
      <c r="BI3" t="e">
        <f>AND(Inputs!L27,"AAAAADZv8zw=")</f>
        <v>#VALUE!</v>
      </c>
      <c r="BJ3" t="e">
        <f>AND(Inputs!M27,"AAAAADZv8z0=")</f>
        <v>#VALUE!</v>
      </c>
      <c r="BK3">
        <f>IF(Inputs!47:47,"AAAAADZv8z4=",0)</f>
        <v>0</v>
      </c>
      <c r="BL3" t="e">
        <f>AND(Inputs!A47,"AAAAADZv8z8=")</f>
        <v>#VALUE!</v>
      </c>
      <c r="BM3" t="e">
        <f>AND(Inputs!B47,"AAAAADZv80A=")</f>
        <v>#VALUE!</v>
      </c>
      <c r="BN3" t="e">
        <f>AND(Inputs!C47,"AAAAADZv80E=")</f>
        <v>#VALUE!</v>
      </c>
      <c r="BO3" t="e">
        <f>AND(Inputs!D47,"AAAAADZv80I=")</f>
        <v>#VALUE!</v>
      </c>
      <c r="BP3" t="e">
        <f>AND(Inputs!E47,"AAAAADZv80M=")</f>
        <v>#VALUE!</v>
      </c>
      <c r="BQ3" t="e">
        <f>AND(Inputs!F47,"AAAAADZv80Q=")</f>
        <v>#VALUE!</v>
      </c>
      <c r="BR3" t="e">
        <f>AND(Inputs!G47,"AAAAADZv80U=")</f>
        <v>#VALUE!</v>
      </c>
      <c r="BS3" t="e">
        <f>AND(Inputs!H47,"AAAAADZv80Y=")</f>
        <v>#VALUE!</v>
      </c>
      <c r="BT3" t="e">
        <f>AND(Inputs!I47,"AAAAADZv80c=")</f>
        <v>#VALUE!</v>
      </c>
      <c r="BU3" t="e">
        <f>AND(Inputs!J47,"AAAAADZv80g=")</f>
        <v>#VALUE!</v>
      </c>
      <c r="BV3" t="e">
        <f>AND(Inputs!K47,"AAAAADZv80k=")</f>
        <v>#VALUE!</v>
      </c>
      <c r="BW3" t="e">
        <f>AND(Inputs!L47,"AAAAADZv80o=")</f>
        <v>#VALUE!</v>
      </c>
      <c r="BX3" t="e">
        <f>AND(Inputs!M47,"AAAAADZv80s=")</f>
        <v>#VALUE!</v>
      </c>
      <c r="BY3">
        <f>IF(Inputs!48:48,"AAAAADZv80w=",0)</f>
        <v>0</v>
      </c>
      <c r="BZ3" t="e">
        <f>AND(Inputs!A48,"AAAAADZv800=")</f>
        <v>#VALUE!</v>
      </c>
      <c r="CA3" t="e">
        <f>AND(Inputs!B48,"AAAAADZv804=")</f>
        <v>#VALUE!</v>
      </c>
      <c r="CB3" t="e">
        <f>AND(Inputs!C48,"AAAAADZv808=")</f>
        <v>#VALUE!</v>
      </c>
      <c r="CC3" t="e">
        <f>AND(Inputs!D48,"AAAAADZv81A=")</f>
        <v>#VALUE!</v>
      </c>
      <c r="CD3" t="e">
        <f>AND(Inputs!E48,"AAAAADZv81E=")</f>
        <v>#VALUE!</v>
      </c>
      <c r="CE3" t="e">
        <f>AND(Inputs!F48,"AAAAADZv81I=")</f>
        <v>#VALUE!</v>
      </c>
      <c r="CF3" t="e">
        <f>AND(Inputs!G48,"AAAAADZv81M=")</f>
        <v>#VALUE!</v>
      </c>
      <c r="CG3" t="e">
        <f>AND(Inputs!H48,"AAAAADZv81Q=")</f>
        <v>#VALUE!</v>
      </c>
      <c r="CH3" t="e">
        <f>AND(Inputs!I48,"AAAAADZv81U=")</f>
        <v>#VALUE!</v>
      </c>
      <c r="CI3" t="e">
        <f>AND(Inputs!J48,"AAAAADZv81Y=")</f>
        <v>#VALUE!</v>
      </c>
      <c r="CJ3" t="e">
        <f>AND(Inputs!K48,"AAAAADZv81c=")</f>
        <v>#VALUE!</v>
      </c>
      <c r="CK3" t="e">
        <f>AND(Inputs!L48,"AAAAADZv81g=")</f>
        <v>#VALUE!</v>
      </c>
      <c r="CL3" t="e">
        <f>AND(Inputs!M48,"AAAAADZv81k=")</f>
        <v>#VALUE!</v>
      </c>
      <c r="CM3">
        <f>IF(Inputs!49:49,"AAAAADZv81o=",0)</f>
        <v>0</v>
      </c>
      <c r="CN3" t="e">
        <f>AND(Inputs!A49,"AAAAADZv81s=")</f>
        <v>#VALUE!</v>
      </c>
      <c r="CO3" t="e">
        <f>AND(Inputs!B49,"AAAAADZv81w=")</f>
        <v>#VALUE!</v>
      </c>
      <c r="CP3" t="e">
        <f>AND(Inputs!C49,"AAAAADZv810=")</f>
        <v>#VALUE!</v>
      </c>
      <c r="CQ3" t="e">
        <f>AND(Inputs!D49,"AAAAADZv814=")</f>
        <v>#VALUE!</v>
      </c>
      <c r="CR3" t="e">
        <f>AND(Inputs!E49,"AAAAADZv818=")</f>
        <v>#VALUE!</v>
      </c>
      <c r="CS3" t="e">
        <f>AND(Inputs!F49,"AAAAADZv82A=")</f>
        <v>#VALUE!</v>
      </c>
      <c r="CT3" t="e">
        <f>AND(Inputs!G49,"AAAAADZv82E=")</f>
        <v>#VALUE!</v>
      </c>
      <c r="CU3" t="e">
        <f>AND(Inputs!H49,"AAAAADZv82I=")</f>
        <v>#VALUE!</v>
      </c>
      <c r="CV3" t="e">
        <f>AND(Inputs!I49,"AAAAADZv82M=")</f>
        <v>#VALUE!</v>
      </c>
      <c r="CW3" t="e">
        <f>AND(Inputs!J49,"AAAAADZv82Q=")</f>
        <v>#VALUE!</v>
      </c>
      <c r="CX3" t="e">
        <f>AND(Inputs!K49,"AAAAADZv82U=")</f>
        <v>#VALUE!</v>
      </c>
      <c r="CY3" t="e">
        <f>AND(Inputs!L49,"AAAAADZv82Y=")</f>
        <v>#VALUE!</v>
      </c>
      <c r="CZ3" t="e">
        <f>AND(Inputs!M49,"AAAAADZv82c=")</f>
        <v>#VALUE!</v>
      </c>
      <c r="DA3">
        <f>IF(Inputs!51:51,"AAAAADZv82g=",0)</f>
        <v>0</v>
      </c>
      <c r="DB3" t="e">
        <f>AND(Inputs!A51,"AAAAADZv82k=")</f>
        <v>#VALUE!</v>
      </c>
      <c r="DC3" t="e">
        <f>AND(Inputs!B51,"AAAAADZv82o=")</f>
        <v>#VALUE!</v>
      </c>
      <c r="DD3" t="e">
        <f>AND(Inputs!C51,"AAAAADZv82s=")</f>
        <v>#VALUE!</v>
      </c>
      <c r="DE3" t="e">
        <f>AND(Inputs!D51,"AAAAADZv82w=")</f>
        <v>#VALUE!</v>
      </c>
      <c r="DF3" t="e">
        <f>AND(Inputs!E51,"AAAAADZv820=")</f>
        <v>#VALUE!</v>
      </c>
      <c r="DG3" t="e">
        <f>AND(Inputs!F51,"AAAAADZv824=")</f>
        <v>#VALUE!</v>
      </c>
      <c r="DH3" t="e">
        <f>AND(Inputs!G51,"AAAAADZv828=")</f>
        <v>#VALUE!</v>
      </c>
      <c r="DI3" t="e">
        <f>AND(Inputs!H51,"AAAAADZv83A=")</f>
        <v>#VALUE!</v>
      </c>
      <c r="DJ3" t="e">
        <f>AND(Inputs!I51,"AAAAADZv83E=")</f>
        <v>#VALUE!</v>
      </c>
      <c r="DK3" t="e">
        <f>AND(Inputs!J51,"AAAAADZv83I=")</f>
        <v>#VALUE!</v>
      </c>
      <c r="DL3" t="e">
        <f>AND(Inputs!K51,"AAAAADZv83M=")</f>
        <v>#VALUE!</v>
      </c>
      <c r="DM3" t="e">
        <f>AND(Inputs!L51,"AAAAADZv83Q=")</f>
        <v>#VALUE!</v>
      </c>
      <c r="DN3" t="e">
        <f>AND(Inputs!M51,"AAAAADZv83U=")</f>
        <v>#VALUE!</v>
      </c>
      <c r="DO3" t="e">
        <f>IF(Inputs!#REF!,"AAAAADZv83Y=",0)</f>
        <v>#REF!</v>
      </c>
      <c r="DP3" t="e">
        <f>AND(Inputs!#REF!,"AAAAADZv83c=")</f>
        <v>#REF!</v>
      </c>
      <c r="DQ3" t="e">
        <f>AND(Inputs!#REF!,"AAAAADZv83g=")</f>
        <v>#REF!</v>
      </c>
      <c r="DR3" t="e">
        <f>AND(Inputs!#REF!,"AAAAADZv83k=")</f>
        <v>#REF!</v>
      </c>
      <c r="DS3" t="e">
        <f>AND(Inputs!#REF!,"AAAAADZv83o=")</f>
        <v>#REF!</v>
      </c>
      <c r="DT3" t="e">
        <f>AND(Inputs!#REF!,"AAAAADZv83s=")</f>
        <v>#REF!</v>
      </c>
      <c r="DU3" t="e">
        <f>AND(Inputs!#REF!,"AAAAADZv83w=")</f>
        <v>#REF!</v>
      </c>
      <c r="DV3" t="e">
        <f>AND(Inputs!#REF!,"AAAAADZv830=")</f>
        <v>#REF!</v>
      </c>
      <c r="DW3" t="e">
        <f>AND(Inputs!#REF!,"AAAAADZv834=")</f>
        <v>#REF!</v>
      </c>
      <c r="DX3" t="e">
        <f>AND(Inputs!#REF!,"AAAAADZv838=")</f>
        <v>#REF!</v>
      </c>
      <c r="DY3" t="e">
        <f>AND(Inputs!#REF!,"AAAAADZv84A=")</f>
        <v>#REF!</v>
      </c>
      <c r="DZ3" t="e">
        <f>AND(Inputs!#REF!,"AAAAADZv84E=")</f>
        <v>#REF!</v>
      </c>
      <c r="EA3" t="e">
        <f>AND(Inputs!#REF!,"AAAAADZv84I=")</f>
        <v>#REF!</v>
      </c>
      <c r="EB3" t="e">
        <f>AND(Inputs!#REF!,"AAAAADZv84M=")</f>
        <v>#REF!</v>
      </c>
      <c r="EC3" t="e">
        <f>IF(Inputs!#REF!,"AAAAADZv84Q=",0)</f>
        <v>#REF!</v>
      </c>
      <c r="ED3" t="e">
        <f>AND(Inputs!#REF!,"AAAAADZv84U=")</f>
        <v>#REF!</v>
      </c>
      <c r="EE3" t="e">
        <f>AND(Inputs!#REF!,"AAAAADZv84Y=")</f>
        <v>#REF!</v>
      </c>
      <c r="EF3" t="e">
        <f>AND(Inputs!#REF!,"AAAAADZv84c=")</f>
        <v>#REF!</v>
      </c>
      <c r="EG3" t="e">
        <f>AND(Inputs!#REF!,"AAAAADZv84g=")</f>
        <v>#REF!</v>
      </c>
      <c r="EH3" t="e">
        <f>AND(Inputs!#REF!,"AAAAADZv84k=")</f>
        <v>#REF!</v>
      </c>
      <c r="EI3" t="e">
        <f>AND(Inputs!#REF!,"AAAAADZv84o=")</f>
        <v>#REF!</v>
      </c>
      <c r="EJ3" t="e">
        <f>AND(Inputs!#REF!,"AAAAADZv84s=")</f>
        <v>#REF!</v>
      </c>
      <c r="EK3" t="e">
        <f>AND(Inputs!#REF!,"AAAAADZv84w=")</f>
        <v>#REF!</v>
      </c>
      <c r="EL3" t="e">
        <f>AND(Inputs!#REF!,"AAAAADZv840=")</f>
        <v>#REF!</v>
      </c>
      <c r="EM3" t="e">
        <f>AND(Inputs!#REF!,"AAAAADZv844=")</f>
        <v>#REF!</v>
      </c>
      <c r="EN3" t="e">
        <f>AND(Inputs!#REF!,"AAAAADZv848=")</f>
        <v>#REF!</v>
      </c>
      <c r="EO3" t="e">
        <f>AND(Inputs!#REF!,"AAAAADZv85A=")</f>
        <v>#REF!</v>
      </c>
      <c r="EP3" t="e">
        <f>AND(Inputs!#REF!,"AAAAADZv85E=")</f>
        <v>#REF!</v>
      </c>
      <c r="EQ3" t="e">
        <f>IF(Inputs!#REF!,"AAAAADZv85I=",0)</f>
        <v>#REF!</v>
      </c>
      <c r="ER3" t="e">
        <f>AND(Inputs!#REF!,"AAAAADZv85M=")</f>
        <v>#REF!</v>
      </c>
      <c r="ES3" t="e">
        <f>AND(Inputs!#REF!,"AAAAADZv85Q=")</f>
        <v>#REF!</v>
      </c>
      <c r="ET3" t="e">
        <f>AND(Inputs!#REF!,"AAAAADZv85U=")</f>
        <v>#REF!</v>
      </c>
      <c r="EU3" t="e">
        <f>AND(Inputs!#REF!,"AAAAADZv85Y=")</f>
        <v>#REF!</v>
      </c>
      <c r="EV3" t="e">
        <f>AND(Inputs!#REF!,"AAAAADZv85c=")</f>
        <v>#REF!</v>
      </c>
      <c r="EW3" t="e">
        <f>AND(Inputs!#REF!,"AAAAADZv85g=")</f>
        <v>#REF!</v>
      </c>
      <c r="EX3" t="e">
        <f>AND(Inputs!#REF!,"AAAAADZv85k=")</f>
        <v>#REF!</v>
      </c>
      <c r="EY3" t="e">
        <f>AND(Inputs!#REF!,"AAAAADZv85o=")</f>
        <v>#REF!</v>
      </c>
      <c r="EZ3" t="e">
        <f>AND(Inputs!#REF!,"AAAAADZv85s=")</f>
        <v>#REF!</v>
      </c>
      <c r="FA3" t="e">
        <f>AND(Inputs!#REF!,"AAAAADZv85w=")</f>
        <v>#REF!</v>
      </c>
      <c r="FB3" t="e">
        <f>AND(Inputs!#REF!,"AAAAADZv850=")</f>
        <v>#REF!</v>
      </c>
      <c r="FC3" t="e">
        <f>AND(Inputs!#REF!,"AAAAADZv854=")</f>
        <v>#REF!</v>
      </c>
      <c r="FD3" t="e">
        <f>AND(Inputs!#REF!,"AAAAADZv858=")</f>
        <v>#REF!</v>
      </c>
      <c r="FE3" t="e">
        <f>IF(Inputs!#REF!,"AAAAADZv86A=",0)</f>
        <v>#REF!</v>
      </c>
      <c r="FF3" t="e">
        <f>AND(Inputs!#REF!,"AAAAADZv86E=")</f>
        <v>#REF!</v>
      </c>
      <c r="FG3" t="e">
        <f>AND(Inputs!#REF!,"AAAAADZv86I=")</f>
        <v>#REF!</v>
      </c>
      <c r="FH3" t="e">
        <f>AND(Inputs!#REF!,"AAAAADZv86M=")</f>
        <v>#REF!</v>
      </c>
      <c r="FI3" t="e">
        <f>AND(Inputs!#REF!,"AAAAADZv86Q=")</f>
        <v>#REF!</v>
      </c>
      <c r="FJ3" t="e">
        <f>AND(Inputs!#REF!,"AAAAADZv86U=")</f>
        <v>#REF!</v>
      </c>
      <c r="FK3" t="e">
        <f>AND(Inputs!#REF!,"AAAAADZv86Y=")</f>
        <v>#REF!</v>
      </c>
      <c r="FL3" t="e">
        <f>AND(Inputs!#REF!,"AAAAADZv86c=")</f>
        <v>#REF!</v>
      </c>
      <c r="FM3" t="e">
        <f>AND(Inputs!#REF!,"AAAAADZv86g=")</f>
        <v>#REF!</v>
      </c>
      <c r="FN3" t="e">
        <f>AND(Inputs!#REF!,"AAAAADZv86k=")</f>
        <v>#REF!</v>
      </c>
      <c r="FO3" t="e">
        <f>AND(Inputs!#REF!,"AAAAADZv86o=")</f>
        <v>#REF!</v>
      </c>
      <c r="FP3" t="e">
        <f>AND(Inputs!#REF!,"AAAAADZv86s=")</f>
        <v>#REF!</v>
      </c>
      <c r="FQ3" t="e">
        <f>AND(Inputs!#REF!,"AAAAADZv86w=")</f>
        <v>#REF!</v>
      </c>
      <c r="FR3" t="e">
        <f>AND(Inputs!#REF!,"AAAAADZv860=")</f>
        <v>#REF!</v>
      </c>
      <c r="FS3" t="e">
        <f>IF(Inputs!#REF!,"AAAAADZv864=",0)</f>
        <v>#REF!</v>
      </c>
      <c r="FT3" t="e">
        <f>AND(Inputs!#REF!,"AAAAADZv868=")</f>
        <v>#REF!</v>
      </c>
      <c r="FU3" t="e">
        <f>AND(Inputs!#REF!,"AAAAADZv87A=")</f>
        <v>#REF!</v>
      </c>
      <c r="FV3" t="e">
        <f>AND(Inputs!#REF!,"AAAAADZv87E=")</f>
        <v>#REF!</v>
      </c>
      <c r="FW3" t="e">
        <f>AND(Inputs!#REF!,"AAAAADZv87I=")</f>
        <v>#REF!</v>
      </c>
      <c r="FX3" t="e">
        <f>AND(Inputs!#REF!,"AAAAADZv87M=")</f>
        <v>#REF!</v>
      </c>
      <c r="FY3" t="e">
        <f>AND(Inputs!#REF!,"AAAAADZv87Q=")</f>
        <v>#REF!</v>
      </c>
      <c r="FZ3" t="e">
        <f>AND(Inputs!#REF!,"AAAAADZv87U=")</f>
        <v>#REF!</v>
      </c>
      <c r="GA3" t="e">
        <f>AND(Inputs!#REF!,"AAAAADZv87Y=")</f>
        <v>#REF!</v>
      </c>
      <c r="GB3" t="e">
        <f>AND(Inputs!#REF!,"AAAAADZv87c=")</f>
        <v>#REF!</v>
      </c>
      <c r="GC3" t="e">
        <f>AND(Inputs!#REF!,"AAAAADZv87g=")</f>
        <v>#REF!</v>
      </c>
      <c r="GD3" t="e">
        <f>AND(Inputs!#REF!,"AAAAADZv87k=")</f>
        <v>#REF!</v>
      </c>
      <c r="GE3" t="e">
        <f>AND(Inputs!#REF!,"AAAAADZv87o=")</f>
        <v>#REF!</v>
      </c>
      <c r="GF3" t="e">
        <f>AND(Inputs!#REF!,"AAAAADZv87s=")</f>
        <v>#REF!</v>
      </c>
      <c r="GG3" t="e">
        <f>IF(Inputs!#REF!,"AAAAADZv87w=",0)</f>
        <v>#REF!</v>
      </c>
      <c r="GH3" t="e">
        <f>AND(Inputs!#REF!,"AAAAADZv870=")</f>
        <v>#REF!</v>
      </c>
      <c r="GI3" t="e">
        <f>AND(Inputs!#REF!,"AAAAADZv874=")</f>
        <v>#REF!</v>
      </c>
      <c r="GJ3" t="e">
        <f>AND(Inputs!#REF!,"AAAAADZv878=")</f>
        <v>#REF!</v>
      </c>
      <c r="GK3" t="e">
        <f>AND(Inputs!#REF!,"AAAAADZv88A=")</f>
        <v>#REF!</v>
      </c>
      <c r="GL3" t="e">
        <f>AND(Inputs!#REF!,"AAAAADZv88E=")</f>
        <v>#REF!</v>
      </c>
      <c r="GM3" t="e">
        <f>AND(Inputs!#REF!,"AAAAADZv88I=")</f>
        <v>#REF!</v>
      </c>
      <c r="GN3" t="e">
        <f>AND(Inputs!#REF!,"AAAAADZv88M=")</f>
        <v>#REF!</v>
      </c>
      <c r="GO3" t="e">
        <f>AND(Inputs!#REF!,"AAAAADZv88Q=")</f>
        <v>#REF!</v>
      </c>
      <c r="GP3" t="e">
        <f>AND(Inputs!#REF!,"AAAAADZv88U=")</f>
        <v>#REF!</v>
      </c>
      <c r="GQ3" t="e">
        <f>AND(Inputs!#REF!,"AAAAADZv88Y=")</f>
        <v>#REF!</v>
      </c>
      <c r="GR3" t="e">
        <f>AND(Inputs!#REF!,"AAAAADZv88c=")</f>
        <v>#REF!</v>
      </c>
      <c r="GS3" t="e">
        <f>AND(Inputs!#REF!,"AAAAADZv88g=")</f>
        <v>#REF!</v>
      </c>
      <c r="GT3" t="e">
        <f>AND(Inputs!#REF!,"AAAAADZv88k=")</f>
        <v>#REF!</v>
      </c>
      <c r="GU3" t="e">
        <f>IF(Inputs!#REF!,"AAAAADZv88o=",0)</f>
        <v>#REF!</v>
      </c>
      <c r="GV3" t="e">
        <f>AND(Inputs!#REF!,"AAAAADZv88s=")</f>
        <v>#REF!</v>
      </c>
      <c r="GW3" t="e">
        <f>AND(Inputs!#REF!,"AAAAADZv88w=")</f>
        <v>#REF!</v>
      </c>
      <c r="GX3" t="e">
        <f>AND(Inputs!#REF!,"AAAAADZv880=")</f>
        <v>#REF!</v>
      </c>
      <c r="GY3" t="e">
        <f>AND(Inputs!#REF!,"AAAAADZv884=")</f>
        <v>#REF!</v>
      </c>
      <c r="GZ3" t="e">
        <f>AND(Inputs!#REF!,"AAAAADZv888=")</f>
        <v>#REF!</v>
      </c>
      <c r="HA3" t="e">
        <f>AND(Inputs!#REF!,"AAAAADZv89A=")</f>
        <v>#REF!</v>
      </c>
      <c r="HB3" t="e">
        <f>AND(Inputs!#REF!,"AAAAADZv89E=")</f>
        <v>#REF!</v>
      </c>
      <c r="HC3" t="e">
        <f>AND(Inputs!#REF!,"AAAAADZv89I=")</f>
        <v>#REF!</v>
      </c>
      <c r="HD3" t="e">
        <f>AND(Inputs!#REF!,"AAAAADZv89M=")</f>
        <v>#REF!</v>
      </c>
      <c r="HE3" t="e">
        <f>AND(Inputs!#REF!,"AAAAADZv89Q=")</f>
        <v>#REF!</v>
      </c>
      <c r="HF3" t="e">
        <f>AND(Inputs!#REF!,"AAAAADZv89U=")</f>
        <v>#REF!</v>
      </c>
      <c r="HG3" t="e">
        <f>AND(Inputs!#REF!,"AAAAADZv89Y=")</f>
        <v>#REF!</v>
      </c>
      <c r="HH3" t="e">
        <f>AND(Inputs!#REF!,"AAAAADZv89c=")</f>
        <v>#REF!</v>
      </c>
      <c r="HI3" t="e">
        <f>IF(Inputs!#REF!,"AAAAADZv89g=",0)</f>
        <v>#REF!</v>
      </c>
      <c r="HJ3" t="e">
        <f>AND(Inputs!#REF!,"AAAAADZv89k=")</f>
        <v>#REF!</v>
      </c>
      <c r="HK3" t="e">
        <f>AND(Inputs!#REF!,"AAAAADZv89o=")</f>
        <v>#REF!</v>
      </c>
      <c r="HL3" t="e">
        <f>AND(Inputs!#REF!,"AAAAADZv89s=")</f>
        <v>#REF!</v>
      </c>
      <c r="HM3" t="e">
        <f>AND(Inputs!#REF!,"AAAAADZv89w=")</f>
        <v>#REF!</v>
      </c>
      <c r="HN3" t="e">
        <f>AND(Inputs!#REF!,"AAAAADZv890=")</f>
        <v>#REF!</v>
      </c>
      <c r="HO3" t="e">
        <f>AND(Inputs!#REF!,"AAAAADZv894=")</f>
        <v>#REF!</v>
      </c>
      <c r="HP3" t="e">
        <f>AND(Inputs!#REF!,"AAAAADZv898=")</f>
        <v>#REF!</v>
      </c>
      <c r="HQ3" t="e">
        <f>AND(Inputs!#REF!,"AAAAADZv8+A=")</f>
        <v>#REF!</v>
      </c>
      <c r="HR3" t="e">
        <f>AND(Inputs!#REF!,"AAAAADZv8+E=")</f>
        <v>#REF!</v>
      </c>
      <c r="HS3" t="e">
        <f>AND(Inputs!#REF!,"AAAAADZv8+I=")</f>
        <v>#REF!</v>
      </c>
      <c r="HT3" t="e">
        <f>AND(Inputs!#REF!,"AAAAADZv8+M=")</f>
        <v>#REF!</v>
      </c>
      <c r="HU3" t="e">
        <f>AND(Inputs!#REF!,"AAAAADZv8+Q=")</f>
        <v>#REF!</v>
      </c>
      <c r="HV3" t="e">
        <f>AND(Inputs!#REF!,"AAAAADZv8+U=")</f>
        <v>#REF!</v>
      </c>
      <c r="HW3" t="e">
        <f>IF(Inputs!#REF!,"AAAAADZv8+Y=",0)</f>
        <v>#REF!</v>
      </c>
      <c r="HX3" t="e">
        <f>AND(Inputs!#REF!,"AAAAADZv8+c=")</f>
        <v>#REF!</v>
      </c>
      <c r="HY3" t="e">
        <f>AND(Inputs!#REF!,"AAAAADZv8+g=")</f>
        <v>#REF!</v>
      </c>
      <c r="HZ3" t="e">
        <f>AND(Inputs!#REF!,"AAAAADZv8+k=")</f>
        <v>#REF!</v>
      </c>
      <c r="IA3" t="e">
        <f>AND(Inputs!#REF!,"AAAAADZv8+o=")</f>
        <v>#REF!</v>
      </c>
      <c r="IB3" t="e">
        <f>AND(Inputs!#REF!,"AAAAADZv8+s=")</f>
        <v>#REF!</v>
      </c>
      <c r="IC3" t="e">
        <f>AND(Inputs!#REF!,"AAAAADZv8+w=")</f>
        <v>#REF!</v>
      </c>
      <c r="ID3" t="e">
        <f>AND(Inputs!#REF!,"AAAAADZv8+0=")</f>
        <v>#REF!</v>
      </c>
      <c r="IE3" t="e">
        <f>AND(Inputs!#REF!,"AAAAADZv8+4=")</f>
        <v>#REF!</v>
      </c>
      <c r="IF3" t="e">
        <f>AND(Inputs!#REF!,"AAAAADZv8+8=")</f>
        <v>#REF!</v>
      </c>
      <c r="IG3" t="e">
        <f>AND(Inputs!#REF!,"AAAAADZv8/A=")</f>
        <v>#REF!</v>
      </c>
      <c r="IH3" t="e">
        <f>AND(Inputs!#REF!,"AAAAADZv8/E=")</f>
        <v>#REF!</v>
      </c>
      <c r="II3" t="e">
        <f>AND(Inputs!#REF!,"AAAAADZv8/I=")</f>
        <v>#REF!</v>
      </c>
      <c r="IJ3" t="e">
        <f>AND(Inputs!#REF!,"AAAAADZv8/M=")</f>
        <v>#REF!</v>
      </c>
      <c r="IK3" t="e">
        <f>IF(Inputs!#REF!,"AAAAADZv8/Q=",0)</f>
        <v>#REF!</v>
      </c>
      <c r="IL3" t="e">
        <f>AND(Inputs!#REF!,"AAAAADZv8/U=")</f>
        <v>#REF!</v>
      </c>
      <c r="IM3" t="e">
        <f>AND(Inputs!#REF!,"AAAAADZv8/Y=")</f>
        <v>#REF!</v>
      </c>
      <c r="IN3" t="e">
        <f>AND(Inputs!#REF!,"AAAAADZv8/c=")</f>
        <v>#REF!</v>
      </c>
      <c r="IO3" t="e">
        <f>AND(Inputs!#REF!,"AAAAADZv8/g=")</f>
        <v>#REF!</v>
      </c>
      <c r="IP3" t="e">
        <f>AND(Inputs!#REF!,"AAAAADZv8/k=")</f>
        <v>#REF!</v>
      </c>
      <c r="IQ3" t="e">
        <f>AND(Inputs!#REF!,"AAAAADZv8/o=")</f>
        <v>#REF!</v>
      </c>
      <c r="IR3" t="e">
        <f>AND(Inputs!#REF!,"AAAAADZv8/s=")</f>
        <v>#REF!</v>
      </c>
      <c r="IS3" t="e">
        <f>AND(Inputs!#REF!,"AAAAADZv8/w=")</f>
        <v>#REF!</v>
      </c>
      <c r="IT3" t="e">
        <f>AND(Inputs!#REF!,"AAAAADZv8/0=")</f>
        <v>#REF!</v>
      </c>
      <c r="IU3" t="e">
        <f>AND(Inputs!#REF!,"AAAAADZv8/4=")</f>
        <v>#REF!</v>
      </c>
      <c r="IV3" t="e">
        <f>AND(Inputs!#REF!,"AAAAADZv8/8=")</f>
        <v>#REF!</v>
      </c>
    </row>
    <row r="4" spans="1:256">
      <c r="A4" t="e">
        <f>AND(Inputs!#REF!,"AAAAAHZt9gA=")</f>
        <v>#REF!</v>
      </c>
      <c r="B4" t="e">
        <f>AND(Inputs!#REF!,"AAAAAHZt9gE=")</f>
        <v>#REF!</v>
      </c>
      <c r="C4" t="e">
        <f>IF(Inputs!#REF!,"AAAAAHZt9gI=",0)</f>
        <v>#REF!</v>
      </c>
      <c r="D4" t="e">
        <f>AND(Inputs!#REF!,"AAAAAHZt9gM=")</f>
        <v>#REF!</v>
      </c>
      <c r="E4" t="e">
        <f>AND(Inputs!#REF!,"AAAAAHZt9gQ=")</f>
        <v>#REF!</v>
      </c>
      <c r="F4" t="e">
        <f>AND(Inputs!#REF!,"AAAAAHZt9gU=")</f>
        <v>#REF!</v>
      </c>
      <c r="G4" t="e">
        <f>AND(Inputs!#REF!,"AAAAAHZt9gY=")</f>
        <v>#REF!</v>
      </c>
      <c r="H4" t="e">
        <f>AND(Inputs!#REF!,"AAAAAHZt9gc=")</f>
        <v>#REF!</v>
      </c>
      <c r="I4" t="e">
        <f>AND(Inputs!#REF!,"AAAAAHZt9gg=")</f>
        <v>#REF!</v>
      </c>
      <c r="J4" t="e">
        <f>AND(Inputs!#REF!,"AAAAAHZt9gk=")</f>
        <v>#REF!</v>
      </c>
      <c r="K4" t="e">
        <f>AND(Inputs!#REF!,"AAAAAHZt9go=")</f>
        <v>#REF!</v>
      </c>
      <c r="L4" t="e">
        <f>AND(Inputs!#REF!,"AAAAAHZt9gs=")</f>
        <v>#REF!</v>
      </c>
      <c r="M4" t="e">
        <f>AND(Inputs!#REF!,"AAAAAHZt9gw=")</f>
        <v>#REF!</v>
      </c>
      <c r="N4" t="e">
        <f>AND(Inputs!#REF!,"AAAAAHZt9g0=")</f>
        <v>#REF!</v>
      </c>
      <c r="O4" t="e">
        <f>AND(Inputs!#REF!,"AAAAAHZt9g4=")</f>
        <v>#REF!</v>
      </c>
      <c r="P4" t="e">
        <f>AND(Inputs!#REF!,"AAAAAHZt9g8=")</f>
        <v>#REF!</v>
      </c>
      <c r="Q4" t="e">
        <f>IF(Inputs!#REF!,"AAAAAHZt9hA=",0)</f>
        <v>#REF!</v>
      </c>
      <c r="R4" t="e">
        <f>AND(Inputs!#REF!,"AAAAAHZt9hE=")</f>
        <v>#REF!</v>
      </c>
      <c r="S4" t="e">
        <f>AND(Inputs!#REF!,"AAAAAHZt9hI=")</f>
        <v>#REF!</v>
      </c>
      <c r="T4" t="e">
        <f>AND(Inputs!#REF!,"AAAAAHZt9hM=")</f>
        <v>#REF!</v>
      </c>
      <c r="U4" t="e">
        <f>AND(Inputs!#REF!,"AAAAAHZt9hQ=")</f>
        <v>#REF!</v>
      </c>
      <c r="V4" t="e">
        <f>AND(Inputs!#REF!,"AAAAAHZt9hU=")</f>
        <v>#REF!</v>
      </c>
      <c r="W4" t="e">
        <f>AND(Inputs!#REF!,"AAAAAHZt9hY=")</f>
        <v>#REF!</v>
      </c>
      <c r="X4" t="e">
        <f>AND(Inputs!#REF!,"AAAAAHZt9hc=")</f>
        <v>#REF!</v>
      </c>
      <c r="Y4" t="e">
        <f>AND(Inputs!#REF!,"AAAAAHZt9hg=")</f>
        <v>#REF!</v>
      </c>
      <c r="Z4" t="e">
        <f>AND(Inputs!#REF!,"AAAAAHZt9hk=")</f>
        <v>#REF!</v>
      </c>
      <c r="AA4" t="e">
        <f>AND(Inputs!#REF!,"AAAAAHZt9ho=")</f>
        <v>#REF!</v>
      </c>
      <c r="AB4" t="e">
        <f>AND(Inputs!#REF!,"AAAAAHZt9hs=")</f>
        <v>#REF!</v>
      </c>
      <c r="AC4" t="e">
        <f>AND(Inputs!#REF!,"AAAAAHZt9hw=")</f>
        <v>#REF!</v>
      </c>
      <c r="AD4" t="e">
        <f>AND(Inputs!#REF!,"AAAAAHZt9h0=")</f>
        <v>#REF!</v>
      </c>
      <c r="AE4" t="e">
        <f>IF(Inputs!#REF!,"AAAAAHZt9h4=",0)</f>
        <v>#REF!</v>
      </c>
      <c r="AF4" t="e">
        <f>AND(Inputs!#REF!,"AAAAAHZt9h8=")</f>
        <v>#REF!</v>
      </c>
      <c r="AG4" t="e">
        <f>AND(Inputs!#REF!,"AAAAAHZt9iA=")</f>
        <v>#REF!</v>
      </c>
      <c r="AH4" t="e">
        <f>AND(Inputs!#REF!,"AAAAAHZt9iE=")</f>
        <v>#REF!</v>
      </c>
      <c r="AI4" t="e">
        <f>AND(Inputs!#REF!,"AAAAAHZt9iI=")</f>
        <v>#REF!</v>
      </c>
      <c r="AJ4" t="e">
        <f>AND(Inputs!#REF!,"AAAAAHZt9iM=")</f>
        <v>#REF!</v>
      </c>
      <c r="AK4" t="e">
        <f>AND(Inputs!#REF!,"AAAAAHZt9iQ=")</f>
        <v>#REF!</v>
      </c>
      <c r="AL4" t="e">
        <f>AND(Inputs!#REF!,"AAAAAHZt9iU=")</f>
        <v>#REF!</v>
      </c>
      <c r="AM4" t="e">
        <f>AND(Inputs!#REF!,"AAAAAHZt9iY=")</f>
        <v>#REF!</v>
      </c>
      <c r="AN4" t="e">
        <f>AND(Inputs!#REF!,"AAAAAHZt9ic=")</f>
        <v>#REF!</v>
      </c>
      <c r="AO4" t="e">
        <f>AND(Inputs!#REF!,"AAAAAHZt9ig=")</f>
        <v>#REF!</v>
      </c>
      <c r="AP4" t="e">
        <f>AND(Inputs!#REF!,"AAAAAHZt9ik=")</f>
        <v>#REF!</v>
      </c>
      <c r="AQ4" t="e">
        <f>AND(Inputs!#REF!,"AAAAAHZt9io=")</f>
        <v>#REF!</v>
      </c>
      <c r="AR4" t="e">
        <f>AND(Inputs!#REF!,"AAAAAHZt9is=")</f>
        <v>#REF!</v>
      </c>
      <c r="AS4" t="e">
        <f>IF(Inputs!#REF!,"AAAAAHZt9iw=",0)</f>
        <v>#REF!</v>
      </c>
      <c r="AT4" t="e">
        <f>AND(Inputs!#REF!,"AAAAAHZt9i0=")</f>
        <v>#REF!</v>
      </c>
      <c r="AU4" t="e">
        <f>AND(Inputs!#REF!,"AAAAAHZt9i4=")</f>
        <v>#REF!</v>
      </c>
      <c r="AV4" t="e">
        <f>AND(Inputs!#REF!,"AAAAAHZt9i8=")</f>
        <v>#REF!</v>
      </c>
      <c r="AW4" t="e">
        <f>AND(Inputs!#REF!,"AAAAAHZt9jA=")</f>
        <v>#REF!</v>
      </c>
      <c r="AX4" t="e">
        <f>AND(Inputs!#REF!,"AAAAAHZt9jE=")</f>
        <v>#REF!</v>
      </c>
      <c r="AY4" t="e">
        <f>AND(Inputs!#REF!,"AAAAAHZt9jI=")</f>
        <v>#REF!</v>
      </c>
      <c r="AZ4" t="e">
        <f>AND(Inputs!#REF!,"AAAAAHZt9jM=")</f>
        <v>#REF!</v>
      </c>
      <c r="BA4" t="e">
        <f>AND(Inputs!#REF!,"AAAAAHZt9jQ=")</f>
        <v>#REF!</v>
      </c>
      <c r="BB4" t="e">
        <f>AND(Inputs!#REF!,"AAAAAHZt9jU=")</f>
        <v>#REF!</v>
      </c>
      <c r="BC4" t="e">
        <f>AND(Inputs!#REF!,"AAAAAHZt9jY=")</f>
        <v>#REF!</v>
      </c>
      <c r="BD4" t="e">
        <f>AND(Inputs!#REF!,"AAAAAHZt9jc=")</f>
        <v>#REF!</v>
      </c>
      <c r="BE4" t="e">
        <f>AND(Inputs!#REF!,"AAAAAHZt9jg=")</f>
        <v>#REF!</v>
      </c>
      <c r="BF4" t="e">
        <f>AND(Inputs!#REF!,"AAAAAHZt9jk=")</f>
        <v>#REF!</v>
      </c>
      <c r="BG4" t="e">
        <f>IF(Inputs!#REF!,"AAAAAHZt9jo=",0)</f>
        <v>#REF!</v>
      </c>
      <c r="BH4" t="e">
        <f>AND(Inputs!#REF!,"AAAAAHZt9js=")</f>
        <v>#REF!</v>
      </c>
      <c r="BI4" t="e">
        <f>AND(Inputs!#REF!,"AAAAAHZt9jw=")</f>
        <v>#REF!</v>
      </c>
      <c r="BJ4" t="e">
        <f>AND(Inputs!#REF!,"AAAAAHZt9j0=")</f>
        <v>#REF!</v>
      </c>
      <c r="BK4" t="e">
        <f>AND(Inputs!#REF!,"AAAAAHZt9j4=")</f>
        <v>#REF!</v>
      </c>
      <c r="BL4" t="e">
        <f>AND(Inputs!#REF!,"AAAAAHZt9j8=")</f>
        <v>#REF!</v>
      </c>
      <c r="BM4" t="e">
        <f>AND(Inputs!#REF!,"AAAAAHZt9kA=")</f>
        <v>#REF!</v>
      </c>
      <c r="BN4" t="e">
        <f>AND(Inputs!#REF!,"AAAAAHZt9kE=")</f>
        <v>#REF!</v>
      </c>
      <c r="BO4" t="e">
        <f>AND(Inputs!#REF!,"AAAAAHZt9kI=")</f>
        <v>#REF!</v>
      </c>
      <c r="BP4" t="e">
        <f>AND(Inputs!#REF!,"AAAAAHZt9kM=")</f>
        <v>#REF!</v>
      </c>
      <c r="BQ4" t="e">
        <f>AND(Inputs!#REF!,"AAAAAHZt9kQ=")</f>
        <v>#REF!</v>
      </c>
      <c r="BR4" t="e">
        <f>AND(Inputs!#REF!,"AAAAAHZt9kU=")</f>
        <v>#REF!</v>
      </c>
      <c r="BS4" t="e">
        <f>AND(Inputs!#REF!,"AAAAAHZt9kY=")</f>
        <v>#REF!</v>
      </c>
      <c r="BT4" t="e">
        <f>AND(Inputs!#REF!,"AAAAAHZt9kc=")</f>
        <v>#REF!</v>
      </c>
      <c r="BU4" t="e">
        <f>IF(Inputs!#REF!,"AAAAAHZt9kg=",0)</f>
        <v>#REF!</v>
      </c>
      <c r="BV4" t="e">
        <f>AND(Inputs!#REF!,"AAAAAHZt9kk=")</f>
        <v>#REF!</v>
      </c>
      <c r="BW4" t="e">
        <f>AND(Inputs!#REF!,"AAAAAHZt9ko=")</f>
        <v>#REF!</v>
      </c>
      <c r="BX4" t="e">
        <f>AND(Inputs!#REF!,"AAAAAHZt9ks=")</f>
        <v>#REF!</v>
      </c>
      <c r="BY4" t="e">
        <f>AND(Inputs!#REF!,"AAAAAHZt9kw=")</f>
        <v>#REF!</v>
      </c>
      <c r="BZ4" t="e">
        <f>AND(Inputs!#REF!,"AAAAAHZt9k0=")</f>
        <v>#REF!</v>
      </c>
      <c r="CA4" t="e">
        <f>AND(Inputs!#REF!,"AAAAAHZt9k4=")</f>
        <v>#REF!</v>
      </c>
      <c r="CB4" t="e">
        <f>AND(Inputs!#REF!,"AAAAAHZt9k8=")</f>
        <v>#REF!</v>
      </c>
      <c r="CC4" t="e">
        <f>AND(Inputs!#REF!,"AAAAAHZt9lA=")</f>
        <v>#REF!</v>
      </c>
      <c r="CD4" t="e">
        <f>AND(Inputs!#REF!,"AAAAAHZt9lE=")</f>
        <v>#REF!</v>
      </c>
      <c r="CE4" t="e">
        <f>AND(Inputs!#REF!,"AAAAAHZt9lI=")</f>
        <v>#REF!</v>
      </c>
      <c r="CF4" t="e">
        <f>AND(Inputs!#REF!,"AAAAAHZt9lM=")</f>
        <v>#REF!</v>
      </c>
      <c r="CG4" t="e">
        <f>AND(Inputs!#REF!,"AAAAAHZt9lQ=")</f>
        <v>#REF!</v>
      </c>
      <c r="CH4" t="e">
        <f>AND(Inputs!#REF!,"AAAAAHZt9lU=")</f>
        <v>#REF!</v>
      </c>
      <c r="CI4" t="e">
        <f>IF(Inputs!#REF!,"AAAAAHZt9lY=",0)</f>
        <v>#REF!</v>
      </c>
      <c r="CJ4" t="e">
        <f>AND(Inputs!#REF!,"AAAAAHZt9lc=")</f>
        <v>#REF!</v>
      </c>
      <c r="CK4" t="e">
        <f>AND(Inputs!#REF!,"AAAAAHZt9lg=")</f>
        <v>#REF!</v>
      </c>
      <c r="CL4" t="e">
        <f>AND(Inputs!#REF!,"AAAAAHZt9lk=")</f>
        <v>#REF!</v>
      </c>
      <c r="CM4" t="e">
        <f>AND(Inputs!#REF!,"AAAAAHZt9lo=")</f>
        <v>#REF!</v>
      </c>
      <c r="CN4" t="e">
        <f>AND(Inputs!#REF!,"AAAAAHZt9ls=")</f>
        <v>#REF!</v>
      </c>
      <c r="CO4" t="e">
        <f>AND(Inputs!#REF!,"AAAAAHZt9lw=")</f>
        <v>#REF!</v>
      </c>
      <c r="CP4" t="e">
        <f>AND(Inputs!#REF!,"AAAAAHZt9l0=")</f>
        <v>#REF!</v>
      </c>
      <c r="CQ4" t="e">
        <f>AND(Inputs!#REF!,"AAAAAHZt9l4=")</f>
        <v>#REF!</v>
      </c>
      <c r="CR4" t="e">
        <f>AND(Inputs!#REF!,"AAAAAHZt9l8=")</f>
        <v>#REF!</v>
      </c>
      <c r="CS4" t="e">
        <f>AND(Inputs!#REF!,"AAAAAHZt9mA=")</f>
        <v>#REF!</v>
      </c>
      <c r="CT4" t="e">
        <f>AND(Inputs!#REF!,"AAAAAHZt9mE=")</f>
        <v>#REF!</v>
      </c>
      <c r="CU4" t="e">
        <f>AND(Inputs!#REF!,"AAAAAHZt9mI=")</f>
        <v>#REF!</v>
      </c>
      <c r="CV4" t="e">
        <f>AND(Inputs!#REF!,"AAAAAHZt9mM=")</f>
        <v>#REF!</v>
      </c>
      <c r="CW4" t="e">
        <f>IF(Inputs!#REF!,"AAAAAHZt9mQ=",0)</f>
        <v>#REF!</v>
      </c>
      <c r="CX4" t="e">
        <f>AND(Inputs!#REF!,"AAAAAHZt9mU=")</f>
        <v>#REF!</v>
      </c>
      <c r="CY4" t="e">
        <f>AND(Inputs!#REF!,"AAAAAHZt9mY=")</f>
        <v>#REF!</v>
      </c>
      <c r="CZ4" t="e">
        <f>AND(Inputs!#REF!,"AAAAAHZt9mc=")</f>
        <v>#REF!</v>
      </c>
      <c r="DA4" t="e">
        <f>AND(Inputs!#REF!,"AAAAAHZt9mg=")</f>
        <v>#REF!</v>
      </c>
      <c r="DB4" t="e">
        <f>AND(Inputs!#REF!,"AAAAAHZt9mk=")</f>
        <v>#REF!</v>
      </c>
      <c r="DC4" t="e">
        <f>AND(Inputs!#REF!,"AAAAAHZt9mo=")</f>
        <v>#REF!</v>
      </c>
      <c r="DD4" t="e">
        <f>AND(Inputs!#REF!,"AAAAAHZt9ms=")</f>
        <v>#REF!</v>
      </c>
      <c r="DE4" t="e">
        <f>AND(Inputs!#REF!,"AAAAAHZt9mw=")</f>
        <v>#REF!</v>
      </c>
      <c r="DF4" t="e">
        <f>AND(Inputs!#REF!,"AAAAAHZt9m0=")</f>
        <v>#REF!</v>
      </c>
      <c r="DG4" t="e">
        <f>AND(Inputs!#REF!,"AAAAAHZt9m4=")</f>
        <v>#REF!</v>
      </c>
      <c r="DH4" t="e">
        <f>AND(Inputs!#REF!,"AAAAAHZt9m8=")</f>
        <v>#REF!</v>
      </c>
      <c r="DI4" t="e">
        <f>AND(Inputs!#REF!,"AAAAAHZt9nA=")</f>
        <v>#REF!</v>
      </c>
      <c r="DJ4" t="e">
        <f>AND(Inputs!#REF!,"AAAAAHZt9nE=")</f>
        <v>#REF!</v>
      </c>
      <c r="DK4" t="e">
        <f>IF(Inputs!#REF!,"AAAAAHZt9nI=",0)</f>
        <v>#REF!</v>
      </c>
      <c r="DL4" t="e">
        <f>AND(Inputs!#REF!,"AAAAAHZt9nM=")</f>
        <v>#REF!</v>
      </c>
      <c r="DM4" t="e">
        <f>AND(Inputs!#REF!,"AAAAAHZt9nQ=")</f>
        <v>#REF!</v>
      </c>
      <c r="DN4" t="e">
        <f>AND(Inputs!#REF!,"AAAAAHZt9nU=")</f>
        <v>#REF!</v>
      </c>
      <c r="DO4" t="e">
        <f>AND(Inputs!#REF!,"AAAAAHZt9nY=")</f>
        <v>#REF!</v>
      </c>
      <c r="DP4" t="e">
        <f>AND(Inputs!#REF!,"AAAAAHZt9nc=")</f>
        <v>#REF!</v>
      </c>
      <c r="DQ4" t="e">
        <f>AND(Inputs!#REF!,"AAAAAHZt9ng=")</f>
        <v>#REF!</v>
      </c>
      <c r="DR4" t="e">
        <f>AND(Inputs!#REF!,"AAAAAHZt9nk=")</f>
        <v>#REF!</v>
      </c>
      <c r="DS4" t="e">
        <f>AND(Inputs!#REF!,"AAAAAHZt9no=")</f>
        <v>#REF!</v>
      </c>
      <c r="DT4" t="e">
        <f>AND(Inputs!#REF!,"AAAAAHZt9ns=")</f>
        <v>#REF!</v>
      </c>
      <c r="DU4" t="e">
        <f>AND(Inputs!#REF!,"AAAAAHZt9nw=")</f>
        <v>#REF!</v>
      </c>
      <c r="DV4" t="e">
        <f>AND(Inputs!#REF!,"AAAAAHZt9n0=")</f>
        <v>#REF!</v>
      </c>
      <c r="DW4" t="e">
        <f>AND(Inputs!#REF!,"AAAAAHZt9n4=")</f>
        <v>#REF!</v>
      </c>
      <c r="DX4" t="e">
        <f>AND(Inputs!#REF!,"AAAAAHZt9n8=")</f>
        <v>#REF!</v>
      </c>
      <c r="DY4" t="e">
        <f>IF(Inputs!#REF!,"AAAAAHZt9oA=",0)</f>
        <v>#REF!</v>
      </c>
      <c r="DZ4" t="e">
        <f>AND(Inputs!#REF!,"AAAAAHZt9oE=")</f>
        <v>#REF!</v>
      </c>
      <c r="EA4" t="e">
        <f>AND(Inputs!#REF!,"AAAAAHZt9oI=")</f>
        <v>#REF!</v>
      </c>
      <c r="EB4" t="e">
        <f>AND(Inputs!#REF!,"AAAAAHZt9oM=")</f>
        <v>#REF!</v>
      </c>
      <c r="EC4" t="e">
        <f>AND(Inputs!#REF!,"AAAAAHZt9oQ=")</f>
        <v>#REF!</v>
      </c>
      <c r="ED4" t="e">
        <f>AND(Inputs!#REF!,"AAAAAHZt9oU=")</f>
        <v>#REF!</v>
      </c>
      <c r="EE4" t="e">
        <f>AND(Inputs!#REF!,"AAAAAHZt9oY=")</f>
        <v>#REF!</v>
      </c>
      <c r="EF4" t="e">
        <f>AND(Inputs!#REF!,"AAAAAHZt9oc=")</f>
        <v>#REF!</v>
      </c>
      <c r="EG4" t="e">
        <f>AND(Inputs!#REF!,"AAAAAHZt9og=")</f>
        <v>#REF!</v>
      </c>
      <c r="EH4" t="e">
        <f>AND(Inputs!#REF!,"AAAAAHZt9ok=")</f>
        <v>#REF!</v>
      </c>
      <c r="EI4" t="e">
        <f>AND(Inputs!#REF!,"AAAAAHZt9oo=")</f>
        <v>#REF!</v>
      </c>
      <c r="EJ4" t="e">
        <f>AND(Inputs!#REF!,"AAAAAHZt9os=")</f>
        <v>#REF!</v>
      </c>
      <c r="EK4" t="e">
        <f>AND(Inputs!#REF!,"AAAAAHZt9ow=")</f>
        <v>#REF!</v>
      </c>
      <c r="EL4" t="e">
        <f>AND(Inputs!#REF!,"AAAAAHZt9o0=")</f>
        <v>#REF!</v>
      </c>
      <c r="EM4" t="e">
        <f>IF(Inputs!#REF!,"AAAAAHZt9o4=",0)</f>
        <v>#REF!</v>
      </c>
      <c r="EN4" t="e">
        <f>AND(Inputs!#REF!,"AAAAAHZt9o8=")</f>
        <v>#REF!</v>
      </c>
      <c r="EO4" t="e">
        <f>AND(Inputs!#REF!,"AAAAAHZt9pA=")</f>
        <v>#REF!</v>
      </c>
      <c r="EP4" t="e">
        <f>AND(Inputs!#REF!,"AAAAAHZt9pE=")</f>
        <v>#REF!</v>
      </c>
      <c r="EQ4" t="e">
        <f>AND(Inputs!#REF!,"AAAAAHZt9pI=")</f>
        <v>#REF!</v>
      </c>
      <c r="ER4" t="e">
        <f>AND(Inputs!#REF!,"AAAAAHZt9pM=")</f>
        <v>#REF!</v>
      </c>
      <c r="ES4" t="e">
        <f>AND(Inputs!#REF!,"AAAAAHZt9pQ=")</f>
        <v>#REF!</v>
      </c>
      <c r="ET4" t="e">
        <f>AND(Inputs!#REF!,"AAAAAHZt9pU=")</f>
        <v>#REF!</v>
      </c>
      <c r="EU4" t="e">
        <f>AND(Inputs!#REF!,"AAAAAHZt9pY=")</f>
        <v>#REF!</v>
      </c>
      <c r="EV4" t="e">
        <f>AND(Inputs!#REF!,"AAAAAHZt9pc=")</f>
        <v>#REF!</v>
      </c>
      <c r="EW4" t="e">
        <f>AND(Inputs!#REF!,"AAAAAHZt9pg=")</f>
        <v>#REF!</v>
      </c>
      <c r="EX4" t="e">
        <f>AND(Inputs!#REF!,"AAAAAHZt9pk=")</f>
        <v>#REF!</v>
      </c>
      <c r="EY4" t="e">
        <f>AND(Inputs!#REF!,"AAAAAHZt9po=")</f>
        <v>#REF!</v>
      </c>
      <c r="EZ4" t="e">
        <f>AND(Inputs!#REF!,"AAAAAHZt9ps=")</f>
        <v>#REF!</v>
      </c>
      <c r="FA4" t="e">
        <f>IF(Inputs!#REF!,"AAAAAHZt9pw=",0)</f>
        <v>#REF!</v>
      </c>
      <c r="FB4" t="e">
        <f>AND(Inputs!#REF!,"AAAAAHZt9p0=")</f>
        <v>#REF!</v>
      </c>
      <c r="FC4" t="e">
        <f>AND(Inputs!#REF!,"AAAAAHZt9p4=")</f>
        <v>#REF!</v>
      </c>
      <c r="FD4" t="e">
        <f>AND(Inputs!#REF!,"AAAAAHZt9p8=")</f>
        <v>#REF!</v>
      </c>
      <c r="FE4" t="e">
        <f>AND(Inputs!#REF!,"AAAAAHZt9qA=")</f>
        <v>#REF!</v>
      </c>
      <c r="FF4" t="e">
        <f>AND(Inputs!#REF!,"AAAAAHZt9qE=")</f>
        <v>#REF!</v>
      </c>
      <c r="FG4" t="e">
        <f>AND(Inputs!#REF!,"AAAAAHZt9qI=")</f>
        <v>#REF!</v>
      </c>
      <c r="FH4" t="e">
        <f>AND(Inputs!#REF!,"AAAAAHZt9qM=")</f>
        <v>#REF!</v>
      </c>
      <c r="FI4" t="e">
        <f>AND(Inputs!#REF!,"AAAAAHZt9qQ=")</f>
        <v>#REF!</v>
      </c>
      <c r="FJ4" t="e">
        <f>AND(Inputs!#REF!,"AAAAAHZt9qU=")</f>
        <v>#REF!</v>
      </c>
      <c r="FK4" t="e">
        <f>AND(Inputs!#REF!,"AAAAAHZt9qY=")</f>
        <v>#REF!</v>
      </c>
      <c r="FL4" t="e">
        <f>AND(Inputs!#REF!,"AAAAAHZt9qc=")</f>
        <v>#REF!</v>
      </c>
      <c r="FM4" t="e">
        <f>AND(Inputs!#REF!,"AAAAAHZt9qg=")</f>
        <v>#REF!</v>
      </c>
      <c r="FN4" t="e">
        <f>AND(Inputs!#REF!,"AAAAAHZt9qk=")</f>
        <v>#REF!</v>
      </c>
      <c r="FO4" t="e">
        <f>IF(Inputs!#REF!,"AAAAAHZt9qo=",0)</f>
        <v>#REF!</v>
      </c>
      <c r="FP4" t="e">
        <f>AND(Inputs!#REF!,"AAAAAHZt9qs=")</f>
        <v>#REF!</v>
      </c>
      <c r="FQ4" t="e">
        <f>AND(Inputs!#REF!,"AAAAAHZt9qw=")</f>
        <v>#REF!</v>
      </c>
      <c r="FR4" t="e">
        <f>AND(Inputs!#REF!,"AAAAAHZt9q0=")</f>
        <v>#REF!</v>
      </c>
      <c r="FS4" t="e">
        <f>AND(Inputs!#REF!,"AAAAAHZt9q4=")</f>
        <v>#REF!</v>
      </c>
      <c r="FT4" t="e">
        <f>AND(Inputs!#REF!,"AAAAAHZt9q8=")</f>
        <v>#REF!</v>
      </c>
      <c r="FU4" t="e">
        <f>AND(Inputs!#REF!,"AAAAAHZt9rA=")</f>
        <v>#REF!</v>
      </c>
      <c r="FV4" t="e">
        <f>AND(Inputs!#REF!,"AAAAAHZt9rE=")</f>
        <v>#REF!</v>
      </c>
      <c r="FW4" t="e">
        <f>AND(Inputs!#REF!,"AAAAAHZt9rI=")</f>
        <v>#REF!</v>
      </c>
      <c r="FX4" t="e">
        <f>AND(Inputs!#REF!,"AAAAAHZt9rM=")</f>
        <v>#REF!</v>
      </c>
      <c r="FY4" t="e">
        <f>AND(Inputs!#REF!,"AAAAAHZt9rQ=")</f>
        <v>#REF!</v>
      </c>
      <c r="FZ4" t="e">
        <f>AND(Inputs!#REF!,"AAAAAHZt9rU=")</f>
        <v>#REF!</v>
      </c>
      <c r="GA4" t="e">
        <f>AND(Inputs!#REF!,"AAAAAHZt9rY=")</f>
        <v>#REF!</v>
      </c>
      <c r="GB4" t="e">
        <f>AND(Inputs!#REF!,"AAAAAHZt9rc=")</f>
        <v>#REF!</v>
      </c>
      <c r="GC4">
        <f>IF(Inputs!53:53,"AAAAAHZt9rg=",0)</f>
        <v>0</v>
      </c>
      <c r="GD4" t="e">
        <f>AND(Inputs!A53,"AAAAAHZt9rk=")</f>
        <v>#VALUE!</v>
      </c>
      <c r="GE4" t="e">
        <f>AND(Inputs!B53,"AAAAAHZt9ro=")</f>
        <v>#VALUE!</v>
      </c>
      <c r="GF4" t="e">
        <f>AND(Inputs!C53,"AAAAAHZt9rs=")</f>
        <v>#VALUE!</v>
      </c>
      <c r="GG4" t="e">
        <f>AND(Inputs!D53,"AAAAAHZt9rw=")</f>
        <v>#VALUE!</v>
      </c>
      <c r="GH4" t="e">
        <f>AND(Inputs!E53,"AAAAAHZt9r0=")</f>
        <v>#VALUE!</v>
      </c>
      <c r="GI4" t="e">
        <f>AND(Inputs!F53,"AAAAAHZt9r4=")</f>
        <v>#VALUE!</v>
      </c>
      <c r="GJ4" t="e">
        <f>AND(Inputs!G53,"AAAAAHZt9r8=")</f>
        <v>#VALUE!</v>
      </c>
      <c r="GK4" t="e">
        <f>AND(Inputs!H53,"AAAAAHZt9sA=")</f>
        <v>#VALUE!</v>
      </c>
      <c r="GL4" t="e">
        <f>AND(Inputs!I53,"AAAAAHZt9sE=")</f>
        <v>#VALUE!</v>
      </c>
      <c r="GM4" t="e">
        <f>AND(Inputs!J53,"AAAAAHZt9sI=")</f>
        <v>#VALUE!</v>
      </c>
      <c r="GN4" t="e">
        <f>AND(Inputs!K53,"AAAAAHZt9sM=")</f>
        <v>#VALUE!</v>
      </c>
      <c r="GO4" t="e">
        <f>AND(Inputs!L53,"AAAAAHZt9sQ=")</f>
        <v>#VALUE!</v>
      </c>
      <c r="GP4" t="e">
        <f>AND(Inputs!M53,"AAAAAHZt9sU=")</f>
        <v>#VALUE!</v>
      </c>
      <c r="GQ4">
        <f>IF(Inputs!54:54,"AAAAAHZt9sY=",0)</f>
        <v>0</v>
      </c>
      <c r="GR4" t="e">
        <f>AND(Inputs!A54,"AAAAAHZt9sc=")</f>
        <v>#VALUE!</v>
      </c>
      <c r="GS4" t="e">
        <f>AND(Inputs!B54,"AAAAAHZt9sg=")</f>
        <v>#VALUE!</v>
      </c>
      <c r="GT4" t="e">
        <f>AND(Inputs!C54,"AAAAAHZt9sk=")</f>
        <v>#VALUE!</v>
      </c>
      <c r="GU4" t="e">
        <f>AND(Inputs!D54,"AAAAAHZt9so=")</f>
        <v>#VALUE!</v>
      </c>
      <c r="GV4" t="e">
        <f>AND(Inputs!E54,"AAAAAHZt9ss=")</f>
        <v>#VALUE!</v>
      </c>
      <c r="GW4" t="e">
        <f>AND(Inputs!F54,"AAAAAHZt9sw=")</f>
        <v>#VALUE!</v>
      </c>
      <c r="GX4" t="e">
        <f>AND(Inputs!G54,"AAAAAHZt9s0=")</f>
        <v>#VALUE!</v>
      </c>
      <c r="GY4" t="e">
        <f>AND(Inputs!H54,"AAAAAHZt9s4=")</f>
        <v>#VALUE!</v>
      </c>
      <c r="GZ4" t="e">
        <f>AND(Inputs!I54,"AAAAAHZt9s8=")</f>
        <v>#VALUE!</v>
      </c>
      <c r="HA4" t="e">
        <f>AND(Inputs!J54,"AAAAAHZt9tA=")</f>
        <v>#VALUE!</v>
      </c>
      <c r="HB4" t="e">
        <f>AND(Inputs!K54,"AAAAAHZt9tE=")</f>
        <v>#VALUE!</v>
      </c>
      <c r="HC4" t="e">
        <f>AND(Inputs!L54,"AAAAAHZt9tI=")</f>
        <v>#VALUE!</v>
      </c>
      <c r="HD4" t="e">
        <f>AND(Inputs!M54,"AAAAAHZt9tM=")</f>
        <v>#VALUE!</v>
      </c>
      <c r="HE4">
        <f>IF(Inputs!55:55,"AAAAAHZt9tQ=",0)</f>
        <v>0</v>
      </c>
      <c r="HF4" t="e">
        <f>AND(Inputs!A55,"AAAAAHZt9tU=")</f>
        <v>#VALUE!</v>
      </c>
      <c r="HG4" t="e">
        <f>AND(Inputs!B55,"AAAAAHZt9tY=")</f>
        <v>#VALUE!</v>
      </c>
      <c r="HH4" t="e">
        <f>AND(Inputs!C55,"AAAAAHZt9tc=")</f>
        <v>#VALUE!</v>
      </c>
      <c r="HI4" t="e">
        <f>AND(Inputs!D55,"AAAAAHZt9tg=")</f>
        <v>#VALUE!</v>
      </c>
      <c r="HJ4" t="e">
        <f>AND(Inputs!E55,"AAAAAHZt9tk=")</f>
        <v>#VALUE!</v>
      </c>
      <c r="HK4" t="e">
        <f>AND(Inputs!F55,"AAAAAHZt9to=")</f>
        <v>#VALUE!</v>
      </c>
      <c r="HL4" t="e">
        <f>AND(Inputs!G55,"AAAAAHZt9ts=")</f>
        <v>#VALUE!</v>
      </c>
      <c r="HM4" t="e">
        <f>AND(Inputs!H55,"AAAAAHZt9tw=")</f>
        <v>#VALUE!</v>
      </c>
      <c r="HN4" t="e">
        <f>AND(Inputs!I55,"AAAAAHZt9t0=")</f>
        <v>#VALUE!</v>
      </c>
      <c r="HO4" t="e">
        <f>AND(Inputs!J55,"AAAAAHZt9t4=")</f>
        <v>#VALUE!</v>
      </c>
      <c r="HP4" t="e">
        <f>AND(Inputs!K55,"AAAAAHZt9t8=")</f>
        <v>#VALUE!</v>
      </c>
      <c r="HQ4" t="e">
        <f>AND(Inputs!L55,"AAAAAHZt9uA=")</f>
        <v>#VALUE!</v>
      </c>
      <c r="HR4" t="e">
        <f>AND(Inputs!M55,"AAAAAHZt9uE=")</f>
        <v>#VALUE!</v>
      </c>
      <c r="HS4" t="e">
        <f>IF(Inputs!#REF!,"AAAAAHZt9uI=",0)</f>
        <v>#REF!</v>
      </c>
      <c r="HT4" t="e">
        <f>AND(Inputs!#REF!,"AAAAAHZt9uM=")</f>
        <v>#REF!</v>
      </c>
      <c r="HU4" t="e">
        <f>AND(Inputs!#REF!,"AAAAAHZt9uQ=")</f>
        <v>#REF!</v>
      </c>
      <c r="HV4" t="e">
        <f>AND(Inputs!#REF!,"AAAAAHZt9uU=")</f>
        <v>#REF!</v>
      </c>
      <c r="HW4" t="e">
        <f>AND(Inputs!#REF!,"AAAAAHZt9uY=")</f>
        <v>#REF!</v>
      </c>
      <c r="HX4" t="e">
        <f>AND(Inputs!#REF!,"AAAAAHZt9uc=")</f>
        <v>#REF!</v>
      </c>
      <c r="HY4" t="e">
        <f>AND(Inputs!#REF!,"AAAAAHZt9ug=")</f>
        <v>#REF!</v>
      </c>
      <c r="HZ4" t="e">
        <f>AND(Inputs!#REF!,"AAAAAHZt9uk=")</f>
        <v>#REF!</v>
      </c>
      <c r="IA4" t="e">
        <f>AND(Inputs!#REF!,"AAAAAHZt9uo=")</f>
        <v>#REF!</v>
      </c>
      <c r="IB4" t="e">
        <f>AND(Inputs!#REF!,"AAAAAHZt9us=")</f>
        <v>#REF!</v>
      </c>
      <c r="IC4" t="e">
        <f>AND(Inputs!#REF!,"AAAAAHZt9uw=")</f>
        <v>#REF!</v>
      </c>
      <c r="ID4" t="e">
        <f>AND(Inputs!#REF!,"AAAAAHZt9u0=")</f>
        <v>#REF!</v>
      </c>
      <c r="IE4" t="e">
        <f>AND(Inputs!#REF!,"AAAAAHZt9u4=")</f>
        <v>#REF!</v>
      </c>
      <c r="IF4" t="e">
        <f>AND(Inputs!#REF!,"AAAAAHZt9u8=")</f>
        <v>#REF!</v>
      </c>
      <c r="IG4" t="e">
        <f>IF(Inputs!#REF!,"AAAAAHZt9vA=",0)</f>
        <v>#REF!</v>
      </c>
      <c r="IH4" t="e">
        <f>AND(Inputs!#REF!,"AAAAAHZt9vE=")</f>
        <v>#REF!</v>
      </c>
      <c r="II4" t="e">
        <f>AND(Inputs!#REF!,"AAAAAHZt9vI=")</f>
        <v>#REF!</v>
      </c>
      <c r="IJ4" t="e">
        <f>AND(Inputs!#REF!,"AAAAAHZt9vM=")</f>
        <v>#REF!</v>
      </c>
      <c r="IK4" t="e">
        <f>AND(Inputs!#REF!,"AAAAAHZt9vQ=")</f>
        <v>#REF!</v>
      </c>
      <c r="IL4" t="e">
        <f>AND(Inputs!#REF!,"AAAAAHZt9vU=")</f>
        <v>#REF!</v>
      </c>
      <c r="IM4" t="e">
        <f>AND(Inputs!#REF!,"AAAAAHZt9vY=")</f>
        <v>#REF!</v>
      </c>
      <c r="IN4" t="e">
        <f>AND(Inputs!#REF!,"AAAAAHZt9vc=")</f>
        <v>#REF!</v>
      </c>
      <c r="IO4" t="e">
        <f>AND(Inputs!#REF!,"AAAAAHZt9vg=")</f>
        <v>#REF!</v>
      </c>
      <c r="IP4" t="e">
        <f>AND(Inputs!#REF!,"AAAAAHZt9vk=")</f>
        <v>#REF!</v>
      </c>
      <c r="IQ4" t="e">
        <f>AND(Inputs!#REF!,"AAAAAHZt9vo=")</f>
        <v>#REF!</v>
      </c>
      <c r="IR4" t="e">
        <f>AND(Inputs!#REF!,"AAAAAHZt9vs=")</f>
        <v>#REF!</v>
      </c>
      <c r="IS4" t="e">
        <f>AND(Inputs!#REF!,"AAAAAHZt9vw=")</f>
        <v>#REF!</v>
      </c>
      <c r="IT4" t="e">
        <f>AND(Inputs!#REF!,"AAAAAHZt9v0=")</f>
        <v>#REF!</v>
      </c>
      <c r="IU4" t="e">
        <f>IF(Inputs!#REF!,"AAAAAHZt9v4=",0)</f>
        <v>#REF!</v>
      </c>
      <c r="IV4" t="e">
        <f>AND(Inputs!#REF!,"AAAAAHZt9v8=")</f>
        <v>#REF!</v>
      </c>
    </row>
    <row r="5" spans="1:256">
      <c r="A5" t="e">
        <f>AND(Inputs!#REF!,"AAAAAH9/rwA=")</f>
        <v>#REF!</v>
      </c>
      <c r="B5" t="e">
        <f>AND(Inputs!#REF!,"AAAAAH9/rwE=")</f>
        <v>#REF!</v>
      </c>
      <c r="C5" t="e">
        <f>AND(Inputs!#REF!,"AAAAAH9/rwI=")</f>
        <v>#REF!</v>
      </c>
      <c r="D5" t="e">
        <f>AND(Inputs!#REF!,"AAAAAH9/rwM=")</f>
        <v>#REF!</v>
      </c>
      <c r="E5" t="e">
        <f>AND(Inputs!#REF!,"AAAAAH9/rwQ=")</f>
        <v>#REF!</v>
      </c>
      <c r="F5" t="e">
        <f>AND(Inputs!#REF!,"AAAAAH9/rwU=")</f>
        <v>#REF!</v>
      </c>
      <c r="G5" t="e">
        <f>AND(Inputs!#REF!,"AAAAAH9/rwY=")</f>
        <v>#REF!</v>
      </c>
      <c r="H5" t="e">
        <f>AND(Inputs!#REF!,"AAAAAH9/rwc=")</f>
        <v>#REF!</v>
      </c>
      <c r="I5" t="e">
        <f>AND(Inputs!#REF!,"AAAAAH9/rwg=")</f>
        <v>#REF!</v>
      </c>
      <c r="J5" t="e">
        <f>AND(Inputs!#REF!,"AAAAAH9/rwk=")</f>
        <v>#REF!</v>
      </c>
      <c r="K5" t="e">
        <f>AND(Inputs!#REF!,"AAAAAH9/rwo=")</f>
        <v>#REF!</v>
      </c>
      <c r="L5" t="e">
        <f>AND(Inputs!#REF!,"AAAAAH9/rws=")</f>
        <v>#REF!</v>
      </c>
      <c r="M5" t="e">
        <f>IF(Inputs!#REF!,"AAAAAH9/rww=",0)</f>
        <v>#REF!</v>
      </c>
      <c r="N5" t="e">
        <f>AND(Inputs!#REF!,"AAAAAH9/rw0=")</f>
        <v>#REF!</v>
      </c>
      <c r="O5" t="e">
        <f>AND(Inputs!#REF!,"AAAAAH9/rw4=")</f>
        <v>#REF!</v>
      </c>
      <c r="P5" t="e">
        <f>AND(Inputs!#REF!,"AAAAAH9/rw8=")</f>
        <v>#REF!</v>
      </c>
      <c r="Q5" t="e">
        <f>AND(Inputs!#REF!,"AAAAAH9/rxA=")</f>
        <v>#REF!</v>
      </c>
      <c r="R5" t="e">
        <f>AND(Inputs!#REF!,"AAAAAH9/rxE=")</f>
        <v>#REF!</v>
      </c>
      <c r="S5" t="e">
        <f>AND(Inputs!#REF!,"AAAAAH9/rxI=")</f>
        <v>#REF!</v>
      </c>
      <c r="T5" t="e">
        <f>AND(Inputs!#REF!,"AAAAAH9/rxM=")</f>
        <v>#REF!</v>
      </c>
      <c r="U5" t="e">
        <f>AND(Inputs!#REF!,"AAAAAH9/rxQ=")</f>
        <v>#REF!</v>
      </c>
      <c r="V5" t="e">
        <f>AND(Inputs!#REF!,"AAAAAH9/rxU=")</f>
        <v>#REF!</v>
      </c>
      <c r="W5" t="e">
        <f>AND(Inputs!#REF!,"AAAAAH9/rxY=")</f>
        <v>#REF!</v>
      </c>
      <c r="X5" t="e">
        <f>AND(Inputs!#REF!,"AAAAAH9/rxc=")</f>
        <v>#REF!</v>
      </c>
      <c r="Y5" t="e">
        <f>AND(Inputs!#REF!,"AAAAAH9/rxg=")</f>
        <v>#REF!</v>
      </c>
      <c r="Z5" t="e">
        <f>AND(Inputs!#REF!,"AAAAAH9/rxk=")</f>
        <v>#REF!</v>
      </c>
      <c r="AA5" t="e">
        <f>IF(Inputs!#REF!,"AAAAAH9/rxo=",0)</f>
        <v>#REF!</v>
      </c>
      <c r="AB5" t="e">
        <f>AND(Inputs!#REF!,"AAAAAH9/rxs=")</f>
        <v>#REF!</v>
      </c>
      <c r="AC5" t="e">
        <f>AND(Inputs!#REF!,"AAAAAH9/rxw=")</f>
        <v>#REF!</v>
      </c>
      <c r="AD5" t="e">
        <f>AND(Inputs!#REF!,"AAAAAH9/rx0=")</f>
        <v>#REF!</v>
      </c>
      <c r="AE5" t="e">
        <f>AND(Inputs!#REF!,"AAAAAH9/rx4=")</f>
        <v>#REF!</v>
      </c>
      <c r="AF5" t="e">
        <f>AND(Inputs!#REF!,"AAAAAH9/rx8=")</f>
        <v>#REF!</v>
      </c>
      <c r="AG5" t="e">
        <f>AND(Inputs!#REF!,"AAAAAH9/ryA=")</f>
        <v>#REF!</v>
      </c>
      <c r="AH5" t="e">
        <f>AND(Inputs!#REF!,"AAAAAH9/ryE=")</f>
        <v>#REF!</v>
      </c>
      <c r="AI5" t="e">
        <f>AND(Inputs!#REF!,"AAAAAH9/ryI=")</f>
        <v>#REF!</v>
      </c>
      <c r="AJ5" t="e">
        <f>AND(Inputs!#REF!,"AAAAAH9/ryM=")</f>
        <v>#REF!</v>
      </c>
      <c r="AK5" t="e">
        <f>AND(Inputs!#REF!,"AAAAAH9/ryQ=")</f>
        <v>#REF!</v>
      </c>
      <c r="AL5" t="e">
        <f>AND(Inputs!#REF!,"AAAAAH9/ryU=")</f>
        <v>#REF!</v>
      </c>
      <c r="AM5" t="e">
        <f>AND(Inputs!#REF!,"AAAAAH9/ryY=")</f>
        <v>#REF!</v>
      </c>
      <c r="AN5" t="e">
        <f>AND(Inputs!#REF!,"AAAAAH9/ryc=")</f>
        <v>#REF!</v>
      </c>
      <c r="AO5" t="e">
        <f>IF(Inputs!#REF!,"AAAAAH9/ryg=",0)</f>
        <v>#REF!</v>
      </c>
      <c r="AP5" t="e">
        <f>AND(Inputs!#REF!,"AAAAAH9/ryk=")</f>
        <v>#REF!</v>
      </c>
      <c r="AQ5" t="e">
        <f>AND(Inputs!#REF!,"AAAAAH9/ryo=")</f>
        <v>#REF!</v>
      </c>
      <c r="AR5" t="e">
        <f>AND(Inputs!#REF!,"AAAAAH9/rys=")</f>
        <v>#REF!</v>
      </c>
      <c r="AS5" t="e">
        <f>AND(Inputs!#REF!,"AAAAAH9/ryw=")</f>
        <v>#REF!</v>
      </c>
      <c r="AT5" t="e">
        <f>AND(Inputs!#REF!,"AAAAAH9/ry0=")</f>
        <v>#REF!</v>
      </c>
      <c r="AU5" t="e">
        <f>AND(Inputs!#REF!,"AAAAAH9/ry4=")</f>
        <v>#REF!</v>
      </c>
      <c r="AV5" t="e">
        <f>AND(Inputs!#REF!,"AAAAAH9/ry8=")</f>
        <v>#REF!</v>
      </c>
      <c r="AW5" t="e">
        <f>AND(Inputs!#REF!,"AAAAAH9/rzA=")</f>
        <v>#REF!</v>
      </c>
      <c r="AX5" t="e">
        <f>AND(Inputs!#REF!,"AAAAAH9/rzE=")</f>
        <v>#REF!</v>
      </c>
      <c r="AY5" t="e">
        <f>AND(Inputs!#REF!,"AAAAAH9/rzI=")</f>
        <v>#REF!</v>
      </c>
      <c r="AZ5" t="e">
        <f>AND(Inputs!#REF!,"AAAAAH9/rzM=")</f>
        <v>#REF!</v>
      </c>
      <c r="BA5" t="e">
        <f>AND(Inputs!#REF!,"AAAAAH9/rzQ=")</f>
        <v>#REF!</v>
      </c>
      <c r="BB5" t="e">
        <f>AND(Inputs!#REF!,"AAAAAH9/rzU=")</f>
        <v>#REF!</v>
      </c>
      <c r="BC5" t="e">
        <f>IF(Inputs!#REF!,"AAAAAH9/rzY=",0)</f>
        <v>#REF!</v>
      </c>
      <c r="BD5" t="e">
        <f>AND(Inputs!#REF!,"AAAAAH9/rzc=")</f>
        <v>#REF!</v>
      </c>
      <c r="BE5" t="e">
        <f>AND(Inputs!#REF!,"AAAAAH9/rzg=")</f>
        <v>#REF!</v>
      </c>
      <c r="BF5" t="e">
        <f>AND(Inputs!#REF!,"AAAAAH9/rzk=")</f>
        <v>#REF!</v>
      </c>
      <c r="BG5" t="e">
        <f>AND(Inputs!#REF!,"AAAAAH9/rzo=")</f>
        <v>#REF!</v>
      </c>
      <c r="BH5" t="e">
        <f>AND(Inputs!#REF!,"AAAAAH9/rzs=")</f>
        <v>#REF!</v>
      </c>
      <c r="BI5" t="e">
        <f>AND(Inputs!#REF!,"AAAAAH9/rzw=")</f>
        <v>#REF!</v>
      </c>
      <c r="BJ5" t="e">
        <f>AND(Inputs!#REF!,"AAAAAH9/rz0=")</f>
        <v>#REF!</v>
      </c>
      <c r="BK5" t="e">
        <f>AND(Inputs!#REF!,"AAAAAH9/rz4=")</f>
        <v>#REF!</v>
      </c>
      <c r="BL5" t="e">
        <f>AND(Inputs!#REF!,"AAAAAH9/rz8=")</f>
        <v>#REF!</v>
      </c>
      <c r="BM5" t="e">
        <f>AND(Inputs!#REF!,"AAAAAH9/r0A=")</f>
        <v>#REF!</v>
      </c>
      <c r="BN5" t="e">
        <f>AND(Inputs!#REF!,"AAAAAH9/r0E=")</f>
        <v>#REF!</v>
      </c>
      <c r="BO5" t="e">
        <f>AND(Inputs!#REF!,"AAAAAH9/r0I=")</f>
        <v>#REF!</v>
      </c>
      <c r="BP5" t="e">
        <f>AND(Inputs!#REF!,"AAAAAH9/r0M=")</f>
        <v>#REF!</v>
      </c>
      <c r="BQ5" t="e">
        <f>IF(Inputs!#REF!,"AAAAAH9/r0Q=",0)</f>
        <v>#REF!</v>
      </c>
      <c r="BR5" t="e">
        <f>AND(Inputs!#REF!,"AAAAAH9/r0U=")</f>
        <v>#REF!</v>
      </c>
      <c r="BS5" t="e">
        <f>AND(Inputs!#REF!,"AAAAAH9/r0Y=")</f>
        <v>#REF!</v>
      </c>
      <c r="BT5" t="e">
        <f>AND(Inputs!#REF!,"AAAAAH9/r0c=")</f>
        <v>#REF!</v>
      </c>
      <c r="BU5" t="e">
        <f>AND(Inputs!#REF!,"AAAAAH9/r0g=")</f>
        <v>#REF!</v>
      </c>
      <c r="BV5" t="e">
        <f>AND(Inputs!#REF!,"AAAAAH9/r0k=")</f>
        <v>#REF!</v>
      </c>
      <c r="BW5" t="e">
        <f>AND(Inputs!#REF!,"AAAAAH9/r0o=")</f>
        <v>#REF!</v>
      </c>
      <c r="BX5" t="e">
        <f>AND(Inputs!#REF!,"AAAAAH9/r0s=")</f>
        <v>#REF!</v>
      </c>
      <c r="BY5" t="e">
        <f>AND(Inputs!#REF!,"AAAAAH9/r0w=")</f>
        <v>#REF!</v>
      </c>
      <c r="BZ5" t="e">
        <f>AND(Inputs!#REF!,"AAAAAH9/r00=")</f>
        <v>#REF!</v>
      </c>
      <c r="CA5" t="e">
        <f>AND(Inputs!#REF!,"AAAAAH9/r04=")</f>
        <v>#REF!</v>
      </c>
      <c r="CB5" t="e">
        <f>AND(Inputs!#REF!,"AAAAAH9/r08=")</f>
        <v>#REF!</v>
      </c>
      <c r="CC5" t="e">
        <f>AND(Inputs!#REF!,"AAAAAH9/r1A=")</f>
        <v>#REF!</v>
      </c>
      <c r="CD5" t="e">
        <f>AND(Inputs!#REF!,"AAAAAH9/r1E=")</f>
        <v>#REF!</v>
      </c>
      <c r="CE5" t="e">
        <f>IF(Inputs!#REF!,"AAAAAH9/r1I=",0)</f>
        <v>#REF!</v>
      </c>
      <c r="CF5" t="e">
        <f>AND(Inputs!#REF!,"AAAAAH9/r1M=")</f>
        <v>#REF!</v>
      </c>
      <c r="CG5" t="e">
        <f>AND(Inputs!#REF!,"AAAAAH9/r1Q=")</f>
        <v>#REF!</v>
      </c>
      <c r="CH5" t="e">
        <f>AND(Inputs!#REF!,"AAAAAH9/r1U=")</f>
        <v>#REF!</v>
      </c>
      <c r="CI5" t="e">
        <f>AND(Inputs!#REF!,"AAAAAH9/r1Y=")</f>
        <v>#REF!</v>
      </c>
      <c r="CJ5" t="e">
        <f>AND(Inputs!#REF!,"AAAAAH9/r1c=")</f>
        <v>#REF!</v>
      </c>
      <c r="CK5" t="e">
        <f>AND(Inputs!#REF!,"AAAAAH9/r1g=")</f>
        <v>#REF!</v>
      </c>
      <c r="CL5" t="e">
        <f>AND(Inputs!#REF!,"AAAAAH9/r1k=")</f>
        <v>#REF!</v>
      </c>
      <c r="CM5" t="e">
        <f>AND(Inputs!#REF!,"AAAAAH9/r1o=")</f>
        <v>#REF!</v>
      </c>
      <c r="CN5" t="e">
        <f>AND(Inputs!#REF!,"AAAAAH9/r1s=")</f>
        <v>#REF!</v>
      </c>
      <c r="CO5" t="e">
        <f>AND(Inputs!#REF!,"AAAAAH9/r1w=")</f>
        <v>#REF!</v>
      </c>
      <c r="CP5" t="e">
        <f>AND(Inputs!#REF!,"AAAAAH9/r10=")</f>
        <v>#REF!</v>
      </c>
      <c r="CQ5" t="e">
        <f>AND(Inputs!#REF!,"AAAAAH9/r14=")</f>
        <v>#REF!</v>
      </c>
      <c r="CR5" t="e">
        <f>AND(Inputs!#REF!,"AAAAAH9/r18=")</f>
        <v>#REF!</v>
      </c>
      <c r="CS5" t="e">
        <f>IF(Inputs!#REF!,"AAAAAH9/r2A=",0)</f>
        <v>#REF!</v>
      </c>
      <c r="CT5">
        <f>IF(Inputs!A:A,"AAAAAH9/r2E=",0)</f>
        <v>0</v>
      </c>
      <c r="CU5" t="e">
        <f>IF(Inputs!B:B,"AAAAAH9/r2I=",0)</f>
        <v>#VALUE!</v>
      </c>
      <c r="CV5" t="e">
        <f>IF(Inputs!C:C,"AAAAAH9/r2M=",0)</f>
        <v>#VALUE!</v>
      </c>
      <c r="CW5">
        <f>IF(Inputs!D:D,"AAAAAH9/r2Q=",0)</f>
        <v>0</v>
      </c>
      <c r="CX5">
        <f>IF(Inputs!E:E,"AAAAAH9/r2U=",0)</f>
        <v>0</v>
      </c>
      <c r="CY5">
        <f>IF(Inputs!F:F,"AAAAAH9/r2Y=",0)</f>
        <v>0</v>
      </c>
      <c r="CZ5">
        <f>IF(Inputs!G:G,"AAAAAH9/r2c=",0)</f>
        <v>0</v>
      </c>
      <c r="DA5">
        <f>IF(Inputs!H:H,"AAAAAH9/r2g=",0)</f>
        <v>0</v>
      </c>
      <c r="DB5">
        <f>IF(Inputs!I:I,"AAAAAH9/r2k=",0)</f>
        <v>0</v>
      </c>
      <c r="DC5">
        <f>IF(Inputs!J:J,"AAAAAH9/r2o=",0)</f>
        <v>0</v>
      </c>
      <c r="DD5">
        <f>IF(Inputs!K:K,"AAAAAH9/r2s=",0)</f>
        <v>0</v>
      </c>
      <c r="DE5">
        <f>IF(Inputs!L:L,"AAAAAH9/r2w=",0)</f>
        <v>0</v>
      </c>
      <c r="DF5">
        <f>IF(Inputs!M:M,"AAAAAH9/r20=",0)</f>
        <v>0</v>
      </c>
      <c r="DG5">
        <f>IF(Output!1:1,"AAAAAH9/r24=",0)</f>
        <v>0</v>
      </c>
      <c r="DH5" t="e">
        <f>AND(Output!A1,"AAAAAH9/r28=")</f>
        <v>#VALUE!</v>
      </c>
      <c r="DI5" t="e">
        <f>AND(Output!B1,"AAAAAH9/r3A=")</f>
        <v>#VALUE!</v>
      </c>
      <c r="DJ5" t="e">
        <f>AND(Output!C1,"AAAAAH9/r3E=")</f>
        <v>#VALUE!</v>
      </c>
      <c r="DK5" t="e">
        <f>AND(Output!D1,"AAAAAH9/r3I=")</f>
        <v>#VALUE!</v>
      </c>
      <c r="DL5" t="e">
        <f>AND(Output!E1,"AAAAAH9/r3M=")</f>
        <v>#VALUE!</v>
      </c>
      <c r="DM5" t="e">
        <f>AND(Output!F1,"AAAAAH9/r3Q=")</f>
        <v>#VALUE!</v>
      </c>
      <c r="DN5" t="e">
        <f>AND(Output!G1,"AAAAAH9/r3U=")</f>
        <v>#VALUE!</v>
      </c>
      <c r="DO5" t="e">
        <f>AND(Output!H1,"AAAAAH9/r3Y=")</f>
        <v>#VALUE!</v>
      </c>
      <c r="DP5" t="e">
        <f>AND(Output!I1,"AAAAAH9/r3c=")</f>
        <v>#VALUE!</v>
      </c>
      <c r="DQ5" t="e">
        <f>AND(Output!J1,"AAAAAH9/r3g=")</f>
        <v>#VALUE!</v>
      </c>
      <c r="DR5" t="e">
        <f>AND(Output!K1,"AAAAAH9/r3k=")</f>
        <v>#VALUE!</v>
      </c>
      <c r="DS5" t="e">
        <f>AND(Output!L1,"AAAAAH9/r3o=")</f>
        <v>#VALUE!</v>
      </c>
      <c r="DT5">
        <f>IF(Output!2:2,"AAAAAH9/r3s=",0)</f>
        <v>0</v>
      </c>
      <c r="DU5" t="e">
        <f>AND(Output!A2,"AAAAAH9/r3w=")</f>
        <v>#VALUE!</v>
      </c>
      <c r="DV5" t="e">
        <f>AND(Output!B2,"AAAAAH9/r30=")</f>
        <v>#VALUE!</v>
      </c>
      <c r="DW5" t="e">
        <f>AND(Output!C2,"AAAAAH9/r34=")</f>
        <v>#VALUE!</v>
      </c>
      <c r="DX5" t="e">
        <f>AND(Output!D2,"AAAAAH9/r38=")</f>
        <v>#VALUE!</v>
      </c>
      <c r="DY5" t="e">
        <f>AND(Output!E2,"AAAAAH9/r4A=")</f>
        <v>#VALUE!</v>
      </c>
      <c r="DZ5" t="e">
        <f>AND(Output!F2,"AAAAAH9/r4E=")</f>
        <v>#VALUE!</v>
      </c>
      <c r="EA5" t="e">
        <f>AND(Output!G2,"AAAAAH9/r4I=")</f>
        <v>#VALUE!</v>
      </c>
      <c r="EB5" t="e">
        <f>AND(Output!H2,"AAAAAH9/r4M=")</f>
        <v>#VALUE!</v>
      </c>
      <c r="EC5" t="e">
        <f>AND(Output!I2,"AAAAAH9/r4Q=")</f>
        <v>#VALUE!</v>
      </c>
      <c r="ED5" t="e">
        <f>AND(Output!J2,"AAAAAH9/r4U=")</f>
        <v>#VALUE!</v>
      </c>
      <c r="EE5" t="e">
        <f>AND(Output!K2,"AAAAAH9/r4Y=")</f>
        <v>#VALUE!</v>
      </c>
      <c r="EF5" t="e">
        <f>AND(Output!L2,"AAAAAH9/r4c=")</f>
        <v>#VALUE!</v>
      </c>
      <c r="EG5" t="e">
        <f>IF(Output!#REF!,"AAAAAH9/r4g=",0)</f>
        <v>#REF!</v>
      </c>
      <c r="EH5" t="e">
        <f>AND(Output!#REF!,"AAAAAH9/r4k=")</f>
        <v>#REF!</v>
      </c>
      <c r="EI5" t="e">
        <f>AND(Output!#REF!,"AAAAAH9/r4o=")</f>
        <v>#REF!</v>
      </c>
      <c r="EJ5" t="e">
        <f>AND(Output!#REF!,"AAAAAH9/r4s=")</f>
        <v>#REF!</v>
      </c>
      <c r="EK5" t="e">
        <f>AND(Output!#REF!,"AAAAAH9/r4w=")</f>
        <v>#REF!</v>
      </c>
      <c r="EL5" t="e">
        <f>AND(Output!#REF!,"AAAAAH9/r40=")</f>
        <v>#REF!</v>
      </c>
      <c r="EM5" t="e">
        <f>AND(Output!#REF!,"AAAAAH9/r44=")</f>
        <v>#REF!</v>
      </c>
      <c r="EN5" t="e">
        <f>AND(Output!#REF!,"AAAAAH9/r48=")</f>
        <v>#REF!</v>
      </c>
      <c r="EO5" t="e">
        <f>AND(Output!#REF!,"AAAAAH9/r5A=")</f>
        <v>#REF!</v>
      </c>
      <c r="EP5" t="e">
        <f>AND(Output!#REF!,"AAAAAH9/r5E=")</f>
        <v>#REF!</v>
      </c>
      <c r="EQ5" t="e">
        <f>AND(Output!#REF!,"AAAAAH9/r5I=")</f>
        <v>#REF!</v>
      </c>
      <c r="ER5" t="e">
        <f>AND(Output!#REF!,"AAAAAH9/r5M=")</f>
        <v>#REF!</v>
      </c>
      <c r="ES5" t="e">
        <f>AND(Output!#REF!,"AAAAAH9/r5Q=")</f>
        <v>#REF!</v>
      </c>
      <c r="ET5">
        <f>IF(Output!4:4,"AAAAAH9/r5U=",0)</f>
        <v>0</v>
      </c>
      <c r="EU5" t="e">
        <f>AND(Output!A4,"AAAAAH9/r5Y=")</f>
        <v>#VALUE!</v>
      </c>
      <c r="EV5" t="e">
        <f>AND(Output!B4,"AAAAAH9/r5c=")</f>
        <v>#VALUE!</v>
      </c>
      <c r="EW5" t="e">
        <f>AND(Output!C4,"AAAAAH9/r5g=")</f>
        <v>#VALUE!</v>
      </c>
      <c r="EX5" t="e">
        <f>AND(Output!D4,"AAAAAH9/r5k=")</f>
        <v>#VALUE!</v>
      </c>
      <c r="EY5" t="e">
        <f>AND(Output!E4,"AAAAAH9/r5o=")</f>
        <v>#VALUE!</v>
      </c>
      <c r="EZ5" t="e">
        <f>AND(Output!F4,"AAAAAH9/r5s=")</f>
        <v>#VALUE!</v>
      </c>
      <c r="FA5" t="e">
        <f>AND(Output!G4,"AAAAAH9/r5w=")</f>
        <v>#VALUE!</v>
      </c>
      <c r="FB5" t="e">
        <f>AND(Output!H4,"AAAAAH9/r50=")</f>
        <v>#VALUE!</v>
      </c>
      <c r="FC5" t="e">
        <f>AND(Output!I4,"AAAAAH9/r54=")</f>
        <v>#VALUE!</v>
      </c>
      <c r="FD5" t="e">
        <f>AND(Output!J4,"AAAAAH9/r58=")</f>
        <v>#VALUE!</v>
      </c>
      <c r="FE5" t="e">
        <f>AND(Output!K4,"AAAAAH9/r6A=")</f>
        <v>#VALUE!</v>
      </c>
      <c r="FF5" t="e">
        <f>AND(Output!L4,"AAAAAH9/r6E=")</f>
        <v>#VALUE!</v>
      </c>
      <c r="FG5">
        <f>IF(Output!5:5,"AAAAAH9/r6I=",0)</f>
        <v>0</v>
      </c>
      <c r="FH5" t="e">
        <f>AND(Output!A5,"AAAAAH9/r6M=")</f>
        <v>#VALUE!</v>
      </c>
      <c r="FI5" t="e">
        <f>AND(Output!B5,"AAAAAH9/r6Q=")</f>
        <v>#VALUE!</v>
      </c>
      <c r="FJ5" t="e">
        <f>AND(Output!#REF!,"AAAAAH9/r6U=")</f>
        <v>#REF!</v>
      </c>
      <c r="FK5" t="e">
        <f>AND(Output!#REF!,"AAAAAH9/r6Y=")</f>
        <v>#REF!</v>
      </c>
      <c r="FL5" t="e">
        <f>AND(Output!C5,"AAAAAH9/r6c=")</f>
        <v>#VALUE!</v>
      </c>
      <c r="FM5" t="e">
        <f>AND(Output!D5,"AAAAAH9/r6g=")</f>
        <v>#VALUE!</v>
      </c>
      <c r="FN5" t="e">
        <f>AND(Output!E5,"AAAAAH9/r6k=")</f>
        <v>#VALUE!</v>
      </c>
      <c r="FO5" t="e">
        <f>AND(Output!F5,"AAAAAH9/r6o=")</f>
        <v>#VALUE!</v>
      </c>
      <c r="FP5" t="e">
        <f>AND(Output!G5,"AAAAAH9/r6s=")</f>
        <v>#VALUE!</v>
      </c>
      <c r="FQ5" t="e">
        <f>AND(Output!H5,"AAAAAH9/r6w=")</f>
        <v>#VALUE!</v>
      </c>
      <c r="FR5" t="e">
        <f>AND(Output!I5,"AAAAAH9/r60=")</f>
        <v>#VALUE!</v>
      </c>
      <c r="FS5" t="e">
        <f>AND(Output!J5,"AAAAAH9/r64=")</f>
        <v>#VALUE!</v>
      </c>
      <c r="FT5">
        <f>IF(Output!9:9,"AAAAAH9/r68=",0)</f>
        <v>0</v>
      </c>
      <c r="FU5" t="e">
        <f>AND(Output!A9,"AAAAAH9/r7A=")</f>
        <v>#VALUE!</v>
      </c>
      <c r="FV5" t="e">
        <f>AND(Output!B9,"AAAAAH9/r7E=")</f>
        <v>#VALUE!</v>
      </c>
      <c r="FW5" t="e">
        <f>AND(Output!#REF!,"AAAAAH9/r7I=")</f>
        <v>#REF!</v>
      </c>
      <c r="FX5" t="e">
        <f>AND(Output!#REF!,"AAAAAH9/r7M=")</f>
        <v>#REF!</v>
      </c>
      <c r="FY5" t="e">
        <f>AND(Output!C9,"AAAAAH9/r7Q=")</f>
        <v>#VALUE!</v>
      </c>
      <c r="FZ5" t="e">
        <f>AND(Output!D9,"AAAAAH9/r7U=")</f>
        <v>#VALUE!</v>
      </c>
      <c r="GA5" t="e">
        <f>AND(Output!E9,"AAAAAH9/r7Y=")</f>
        <v>#VALUE!</v>
      </c>
      <c r="GB5" t="e">
        <f>AND(Output!F9,"AAAAAH9/r7c=")</f>
        <v>#VALUE!</v>
      </c>
      <c r="GC5" t="e">
        <f>AND(Output!G9,"AAAAAH9/r7g=")</f>
        <v>#VALUE!</v>
      </c>
      <c r="GD5" t="e">
        <f>AND(Output!H9,"AAAAAH9/r7k=")</f>
        <v>#VALUE!</v>
      </c>
      <c r="GE5" t="e">
        <f>AND(Output!#REF!,"AAAAAH9/r7o=")</f>
        <v>#REF!</v>
      </c>
      <c r="GF5" t="e">
        <f>AND(Output!I9,"AAAAAH9/r7s=")</f>
        <v>#VALUE!</v>
      </c>
      <c r="GG5" t="e">
        <f>IF(Output!#REF!,"AAAAAH9/r7w=",0)</f>
        <v>#REF!</v>
      </c>
      <c r="GH5" t="e">
        <f>AND(Output!#REF!,"AAAAAH9/r70=")</f>
        <v>#REF!</v>
      </c>
      <c r="GI5" t="e">
        <f>AND(Output!#REF!,"AAAAAH9/r74=")</f>
        <v>#REF!</v>
      </c>
      <c r="GJ5" t="e">
        <f>AND(Output!#REF!,"AAAAAH9/r78=")</f>
        <v>#REF!</v>
      </c>
      <c r="GK5" t="e">
        <f>AND(Output!#REF!,"AAAAAH9/r8A=")</f>
        <v>#REF!</v>
      </c>
      <c r="GL5" t="e">
        <f>AND(Output!#REF!,"AAAAAH9/r8E=")</f>
        <v>#REF!</v>
      </c>
      <c r="GM5" t="e">
        <f>AND(Output!#REF!,"AAAAAH9/r8I=")</f>
        <v>#REF!</v>
      </c>
      <c r="GN5" t="e">
        <f>AND(Output!#REF!,"AAAAAH9/r8M=")</f>
        <v>#REF!</v>
      </c>
      <c r="GO5" t="e">
        <f>AND(Output!#REF!,"AAAAAH9/r8Q=")</f>
        <v>#REF!</v>
      </c>
      <c r="GP5" t="e">
        <f>AND(Output!#REF!,"AAAAAH9/r8U=")</f>
        <v>#REF!</v>
      </c>
      <c r="GQ5" t="e">
        <f>AND(Output!#REF!,"AAAAAH9/r8Y=")</f>
        <v>#REF!</v>
      </c>
      <c r="GR5" t="e">
        <f>AND(Output!#REF!,"AAAAAH9/r8c=")</f>
        <v>#REF!</v>
      </c>
      <c r="GS5" t="e">
        <f>AND(Output!#REF!,"AAAAAH9/r8g=")</f>
        <v>#REF!</v>
      </c>
      <c r="GT5" t="e">
        <f>IF(Output!#REF!,"AAAAAH9/r8k=",0)</f>
        <v>#REF!</v>
      </c>
      <c r="GU5" t="e">
        <f>AND(Output!#REF!,"AAAAAH9/r8o=")</f>
        <v>#REF!</v>
      </c>
      <c r="GV5" t="e">
        <f>AND(Output!#REF!,"AAAAAH9/r8s=")</f>
        <v>#REF!</v>
      </c>
      <c r="GW5" t="e">
        <f>AND(Output!#REF!,"AAAAAH9/r8w=")</f>
        <v>#REF!</v>
      </c>
      <c r="GX5" t="e">
        <f>AND(Output!#REF!,"AAAAAH9/r80=")</f>
        <v>#REF!</v>
      </c>
      <c r="GY5" t="e">
        <f>AND(Output!#REF!,"AAAAAH9/r84=")</f>
        <v>#REF!</v>
      </c>
      <c r="GZ5" t="e">
        <f>AND(Output!#REF!,"AAAAAH9/r88=")</f>
        <v>#REF!</v>
      </c>
      <c r="HA5" t="e">
        <f>AND(Output!#REF!,"AAAAAH9/r9A=")</f>
        <v>#REF!</v>
      </c>
      <c r="HB5" t="e">
        <f>AND(Output!#REF!,"AAAAAH9/r9E=")</f>
        <v>#REF!</v>
      </c>
      <c r="HC5" t="e">
        <f>AND(Output!#REF!,"AAAAAH9/r9I=")</f>
        <v>#REF!</v>
      </c>
      <c r="HD5" t="e">
        <f>AND(Output!#REF!,"AAAAAH9/r9M=")</f>
        <v>#REF!</v>
      </c>
      <c r="HE5" t="e">
        <f>AND(Output!#REF!,"AAAAAH9/r9Q=")</f>
        <v>#REF!</v>
      </c>
      <c r="HF5" t="e">
        <f>AND(Output!#REF!,"AAAAAH9/r9U=")</f>
        <v>#REF!</v>
      </c>
      <c r="HG5" t="e">
        <f>IF(Output!#REF!,"AAAAAH9/r9Y=",0)</f>
        <v>#REF!</v>
      </c>
      <c r="HH5" t="e">
        <f>AND(Output!#REF!,"AAAAAH9/r9c=")</f>
        <v>#REF!</v>
      </c>
      <c r="HI5" t="e">
        <f>AND(Output!#REF!,"AAAAAH9/r9g=")</f>
        <v>#REF!</v>
      </c>
      <c r="HJ5" t="e">
        <f>AND(Output!#REF!,"AAAAAH9/r9k=")</f>
        <v>#REF!</v>
      </c>
      <c r="HK5" t="e">
        <f>AND(Output!#REF!,"AAAAAH9/r9o=")</f>
        <v>#REF!</v>
      </c>
      <c r="HL5" t="e">
        <f>AND(Output!#REF!,"AAAAAH9/r9s=")</f>
        <v>#REF!</v>
      </c>
      <c r="HM5" t="e">
        <f>AND(Output!#REF!,"AAAAAH9/r9w=")</f>
        <v>#REF!</v>
      </c>
      <c r="HN5" t="e">
        <f>AND(Output!#REF!,"AAAAAH9/r90=")</f>
        <v>#REF!</v>
      </c>
      <c r="HO5" t="e">
        <f>AND(Output!#REF!,"AAAAAH9/r94=")</f>
        <v>#REF!</v>
      </c>
      <c r="HP5" t="e">
        <f>AND(Output!#REF!,"AAAAAH9/r98=")</f>
        <v>#REF!</v>
      </c>
      <c r="HQ5" t="e">
        <f>AND(Output!#REF!,"AAAAAH9/r+A=")</f>
        <v>#REF!</v>
      </c>
      <c r="HR5" t="e">
        <f>AND(Output!#REF!,"AAAAAH9/r+E=")</f>
        <v>#REF!</v>
      </c>
      <c r="HS5" t="e">
        <f>AND(Output!#REF!,"AAAAAH9/r+I=")</f>
        <v>#REF!</v>
      </c>
      <c r="HT5" t="e">
        <f>IF(Output!#REF!,"AAAAAH9/r+M=",0)</f>
        <v>#REF!</v>
      </c>
      <c r="HU5" t="e">
        <f>AND(Output!#REF!,"AAAAAH9/r+Q=")</f>
        <v>#REF!</v>
      </c>
      <c r="HV5" t="e">
        <f>AND(Output!#REF!,"AAAAAH9/r+U=")</f>
        <v>#REF!</v>
      </c>
      <c r="HW5" t="e">
        <f>AND(Output!#REF!,"AAAAAH9/r+Y=")</f>
        <v>#REF!</v>
      </c>
      <c r="HX5" t="e">
        <f>AND(Output!#REF!,"AAAAAH9/r+c=")</f>
        <v>#REF!</v>
      </c>
      <c r="HY5" t="e">
        <f>AND(Output!#REF!,"AAAAAH9/r+g=")</f>
        <v>#REF!</v>
      </c>
      <c r="HZ5" t="e">
        <f>AND(Output!#REF!,"AAAAAH9/r+k=")</f>
        <v>#REF!</v>
      </c>
      <c r="IA5" t="e">
        <f>AND(Output!#REF!,"AAAAAH9/r+o=")</f>
        <v>#REF!</v>
      </c>
      <c r="IB5" t="e">
        <f>AND(Output!#REF!,"AAAAAH9/r+s=")</f>
        <v>#REF!</v>
      </c>
      <c r="IC5" t="e">
        <f>AND(Output!#REF!,"AAAAAH9/r+w=")</f>
        <v>#REF!</v>
      </c>
      <c r="ID5" t="e">
        <f>AND(Output!#REF!,"AAAAAH9/r+0=")</f>
        <v>#REF!</v>
      </c>
      <c r="IE5" t="e">
        <f>AND(Output!#REF!,"AAAAAH9/r+4=")</f>
        <v>#REF!</v>
      </c>
      <c r="IF5" t="e">
        <f>AND(Output!#REF!,"AAAAAH9/r+8=")</f>
        <v>#REF!</v>
      </c>
      <c r="IG5" t="e">
        <f>IF(Output!#REF!,"AAAAAH9/r/A=",0)</f>
        <v>#REF!</v>
      </c>
      <c r="IH5" t="e">
        <f>AND(Output!#REF!,"AAAAAH9/r/E=")</f>
        <v>#REF!</v>
      </c>
      <c r="II5" t="e">
        <f>AND(Output!#REF!,"AAAAAH9/r/I=")</f>
        <v>#REF!</v>
      </c>
      <c r="IJ5" t="e">
        <f>AND(Output!#REF!,"AAAAAH9/r/M=")</f>
        <v>#REF!</v>
      </c>
      <c r="IK5" t="e">
        <f>AND(Output!#REF!,"AAAAAH9/r/Q=")</f>
        <v>#REF!</v>
      </c>
      <c r="IL5" t="e">
        <f>AND(Output!#REF!,"AAAAAH9/r/U=")</f>
        <v>#REF!</v>
      </c>
      <c r="IM5" t="e">
        <f>AND(Output!#REF!,"AAAAAH9/r/Y=")</f>
        <v>#REF!</v>
      </c>
      <c r="IN5" t="e">
        <f>AND(Output!#REF!,"AAAAAH9/r/c=")</f>
        <v>#REF!</v>
      </c>
      <c r="IO5" t="e">
        <f>AND(Output!#REF!,"AAAAAH9/r/g=")</f>
        <v>#REF!</v>
      </c>
      <c r="IP5" t="e">
        <f>AND(Output!#REF!,"AAAAAH9/r/k=")</f>
        <v>#REF!</v>
      </c>
      <c r="IQ5" t="e">
        <f>AND(Output!#REF!,"AAAAAH9/r/o=")</f>
        <v>#REF!</v>
      </c>
      <c r="IR5" t="e">
        <f>AND(Output!#REF!,"AAAAAH9/r/s=")</f>
        <v>#REF!</v>
      </c>
      <c r="IS5" t="e">
        <f>AND(Output!#REF!,"AAAAAH9/r/w=")</f>
        <v>#REF!</v>
      </c>
      <c r="IT5" t="e">
        <f>IF(Output!#REF!,"AAAAAH9/r/0=",0)</f>
        <v>#REF!</v>
      </c>
      <c r="IU5" t="e">
        <f>AND(Output!#REF!,"AAAAAH9/r/4=")</f>
        <v>#REF!</v>
      </c>
      <c r="IV5" t="e">
        <f>AND(Output!#REF!,"AAAAAH9/r/8=")</f>
        <v>#REF!</v>
      </c>
    </row>
    <row r="6" spans="1:256">
      <c r="A6" t="e">
        <f>AND(Output!#REF!,"AAAAAH9/ewA=")</f>
        <v>#REF!</v>
      </c>
      <c r="B6" t="e">
        <f>AND(Output!#REF!,"AAAAAH9/ewE=")</f>
        <v>#REF!</v>
      </c>
      <c r="C6" t="e">
        <f>AND(Output!#REF!,"AAAAAH9/ewI=")</f>
        <v>#REF!</v>
      </c>
      <c r="D6" t="e">
        <f>AND(Output!#REF!,"AAAAAH9/ewM=")</f>
        <v>#REF!</v>
      </c>
      <c r="E6" t="e">
        <f>AND(Output!#REF!,"AAAAAH9/ewQ=")</f>
        <v>#REF!</v>
      </c>
      <c r="F6" t="e">
        <f>AND(Output!#REF!,"AAAAAH9/ewU=")</f>
        <v>#REF!</v>
      </c>
      <c r="G6" t="e">
        <f>AND(Output!#REF!,"AAAAAH9/ewY=")</f>
        <v>#REF!</v>
      </c>
      <c r="H6" t="e">
        <f>AND(Output!#REF!,"AAAAAH9/ewc=")</f>
        <v>#REF!</v>
      </c>
      <c r="I6" t="e">
        <f>AND(Output!#REF!,"AAAAAH9/ewg=")</f>
        <v>#REF!</v>
      </c>
      <c r="J6" t="e">
        <f>AND(Output!#REF!,"AAAAAH9/ewk=")</f>
        <v>#REF!</v>
      </c>
      <c r="K6" t="e">
        <f>IF(Output!#REF!,"AAAAAH9/ewo=",0)</f>
        <v>#REF!</v>
      </c>
      <c r="L6" t="e">
        <f>AND(Output!#REF!,"AAAAAH9/ews=")</f>
        <v>#REF!</v>
      </c>
      <c r="M6" t="e">
        <f>AND(Output!#REF!,"AAAAAH9/eww=")</f>
        <v>#REF!</v>
      </c>
      <c r="N6" t="e">
        <f>AND(Output!#REF!,"AAAAAH9/ew0=")</f>
        <v>#REF!</v>
      </c>
      <c r="O6" t="e">
        <f>AND(Output!#REF!,"AAAAAH9/ew4=")</f>
        <v>#REF!</v>
      </c>
      <c r="P6" t="e">
        <f>AND(Output!#REF!,"AAAAAH9/ew8=")</f>
        <v>#REF!</v>
      </c>
      <c r="Q6" t="e">
        <f>AND(Output!#REF!,"AAAAAH9/exA=")</f>
        <v>#REF!</v>
      </c>
      <c r="R6" t="e">
        <f>AND(Output!#REF!,"AAAAAH9/exE=")</f>
        <v>#REF!</v>
      </c>
      <c r="S6" t="e">
        <f>AND(Output!#REF!,"AAAAAH9/exI=")</f>
        <v>#REF!</v>
      </c>
      <c r="T6" t="e">
        <f>AND(Output!#REF!,"AAAAAH9/exM=")</f>
        <v>#REF!</v>
      </c>
      <c r="U6" t="e">
        <f>AND(Output!#REF!,"AAAAAH9/exQ=")</f>
        <v>#REF!</v>
      </c>
      <c r="V6" t="e">
        <f>AND(Output!#REF!,"AAAAAH9/exU=")</f>
        <v>#REF!</v>
      </c>
      <c r="W6" t="e">
        <f>AND(Output!#REF!,"AAAAAH9/exY=")</f>
        <v>#REF!</v>
      </c>
      <c r="X6" t="e">
        <f>IF(Output!#REF!,"AAAAAH9/exc=",0)</f>
        <v>#REF!</v>
      </c>
      <c r="Y6" t="e">
        <f>AND(Output!#REF!,"AAAAAH9/exg=")</f>
        <v>#REF!</v>
      </c>
      <c r="Z6" t="e">
        <f>AND(Output!#REF!,"AAAAAH9/exk=")</f>
        <v>#REF!</v>
      </c>
      <c r="AA6" t="e">
        <f>AND(Output!#REF!,"AAAAAH9/exo=")</f>
        <v>#REF!</v>
      </c>
      <c r="AB6" t="e">
        <f>AND(Output!#REF!,"AAAAAH9/exs=")</f>
        <v>#REF!</v>
      </c>
      <c r="AC6" t="e">
        <f>AND(Output!#REF!,"AAAAAH9/exw=")</f>
        <v>#REF!</v>
      </c>
      <c r="AD6" t="e">
        <f>AND(Output!#REF!,"AAAAAH9/ex0=")</f>
        <v>#REF!</v>
      </c>
      <c r="AE6" t="e">
        <f>AND(Output!#REF!,"AAAAAH9/ex4=")</f>
        <v>#REF!</v>
      </c>
      <c r="AF6" t="e">
        <f>AND(Output!#REF!,"AAAAAH9/ex8=")</f>
        <v>#REF!</v>
      </c>
      <c r="AG6" t="e">
        <f>AND(Output!#REF!,"AAAAAH9/eyA=")</f>
        <v>#REF!</v>
      </c>
      <c r="AH6" t="e">
        <f>AND(Output!#REF!,"AAAAAH9/eyE=")</f>
        <v>#REF!</v>
      </c>
      <c r="AI6" t="e">
        <f>AND(Output!#REF!,"AAAAAH9/eyI=")</f>
        <v>#REF!</v>
      </c>
      <c r="AJ6" t="e">
        <f>AND(Output!#REF!,"AAAAAH9/eyM=")</f>
        <v>#REF!</v>
      </c>
      <c r="AK6" t="e">
        <f>IF(Output!#REF!,"AAAAAH9/eyQ=",0)</f>
        <v>#REF!</v>
      </c>
      <c r="AL6" t="e">
        <f>AND(Output!#REF!,"AAAAAH9/eyU=")</f>
        <v>#REF!</v>
      </c>
      <c r="AM6" t="e">
        <f>AND(Output!#REF!,"AAAAAH9/eyY=")</f>
        <v>#REF!</v>
      </c>
      <c r="AN6" t="e">
        <f>AND(Output!#REF!,"AAAAAH9/eyc=")</f>
        <v>#REF!</v>
      </c>
      <c r="AO6" t="e">
        <f>AND(Output!#REF!,"AAAAAH9/eyg=")</f>
        <v>#REF!</v>
      </c>
      <c r="AP6" t="e">
        <f>AND(Output!#REF!,"AAAAAH9/eyk=")</f>
        <v>#REF!</v>
      </c>
      <c r="AQ6" t="e">
        <f>AND(Output!#REF!,"AAAAAH9/eyo=")</f>
        <v>#REF!</v>
      </c>
      <c r="AR6" t="e">
        <f>AND(Output!#REF!,"AAAAAH9/eys=")</f>
        <v>#REF!</v>
      </c>
      <c r="AS6" t="e">
        <f>AND(Output!#REF!,"AAAAAH9/eyw=")</f>
        <v>#REF!</v>
      </c>
      <c r="AT6" t="e">
        <f>AND(Output!#REF!,"AAAAAH9/ey0=")</f>
        <v>#REF!</v>
      </c>
      <c r="AU6" t="e">
        <f>AND(Output!#REF!,"AAAAAH9/ey4=")</f>
        <v>#REF!</v>
      </c>
      <c r="AV6" t="e">
        <f>AND(Output!#REF!,"AAAAAH9/ey8=")</f>
        <v>#REF!</v>
      </c>
      <c r="AW6" t="e">
        <f>AND(Output!#REF!,"AAAAAH9/ezA=")</f>
        <v>#REF!</v>
      </c>
      <c r="AX6" t="e">
        <f>IF(Output!#REF!,"AAAAAH9/ezE=",0)</f>
        <v>#REF!</v>
      </c>
      <c r="AY6" t="e">
        <f>AND(Output!#REF!,"AAAAAH9/ezI=")</f>
        <v>#REF!</v>
      </c>
      <c r="AZ6" t="e">
        <f>AND(Output!#REF!,"AAAAAH9/ezM=")</f>
        <v>#REF!</v>
      </c>
      <c r="BA6" t="e">
        <f>AND(Output!#REF!,"AAAAAH9/ezQ=")</f>
        <v>#REF!</v>
      </c>
      <c r="BB6" t="e">
        <f>AND(Output!#REF!,"AAAAAH9/ezU=")</f>
        <v>#REF!</v>
      </c>
      <c r="BC6" t="e">
        <f>AND(Output!#REF!,"AAAAAH9/ezY=")</f>
        <v>#REF!</v>
      </c>
      <c r="BD6" t="e">
        <f>AND(Output!#REF!,"AAAAAH9/ezc=")</f>
        <v>#REF!</v>
      </c>
      <c r="BE6" t="e">
        <f>AND(Output!#REF!,"AAAAAH9/ezg=")</f>
        <v>#REF!</v>
      </c>
      <c r="BF6" t="e">
        <f>AND(Output!#REF!,"AAAAAH9/ezk=")</f>
        <v>#REF!</v>
      </c>
      <c r="BG6" t="e">
        <f>AND(Output!#REF!,"AAAAAH9/ezo=")</f>
        <v>#REF!</v>
      </c>
      <c r="BH6" t="e">
        <f>AND(Output!#REF!,"AAAAAH9/ezs=")</f>
        <v>#REF!</v>
      </c>
      <c r="BI6" t="e">
        <f>AND(Output!#REF!,"AAAAAH9/ezw=")</f>
        <v>#REF!</v>
      </c>
      <c r="BJ6" t="e">
        <f>AND(Output!#REF!,"AAAAAH9/ez0=")</f>
        <v>#REF!</v>
      </c>
      <c r="BK6" t="e">
        <f>IF(Output!#REF!,"AAAAAH9/ez4=",0)</f>
        <v>#REF!</v>
      </c>
      <c r="BL6" t="e">
        <f>AND(Output!#REF!,"AAAAAH9/ez8=")</f>
        <v>#REF!</v>
      </c>
      <c r="BM6" t="e">
        <f>AND(Output!#REF!,"AAAAAH9/e0A=")</f>
        <v>#REF!</v>
      </c>
      <c r="BN6" t="e">
        <f>AND(Output!#REF!,"AAAAAH9/e0E=")</f>
        <v>#REF!</v>
      </c>
      <c r="BO6" t="e">
        <f>AND(Output!#REF!,"AAAAAH9/e0I=")</f>
        <v>#REF!</v>
      </c>
      <c r="BP6" t="e">
        <f>AND(Output!#REF!,"AAAAAH9/e0M=")</f>
        <v>#REF!</v>
      </c>
      <c r="BQ6" t="e">
        <f>AND(Output!#REF!,"AAAAAH9/e0Q=")</f>
        <v>#REF!</v>
      </c>
      <c r="BR6" t="e">
        <f>AND(Output!#REF!,"AAAAAH9/e0U=")</f>
        <v>#REF!</v>
      </c>
      <c r="BS6" t="e">
        <f>AND(Output!#REF!,"AAAAAH9/e0Y=")</f>
        <v>#REF!</v>
      </c>
      <c r="BT6" t="e">
        <f>AND(Output!#REF!,"AAAAAH9/e0c=")</f>
        <v>#REF!</v>
      </c>
      <c r="BU6" t="e">
        <f>AND(Output!#REF!,"AAAAAH9/e0g=")</f>
        <v>#REF!</v>
      </c>
      <c r="BV6" t="e">
        <f>AND(Output!#REF!,"AAAAAH9/e0k=")</f>
        <v>#REF!</v>
      </c>
      <c r="BW6" t="e">
        <f>AND(Output!#REF!,"AAAAAH9/e0o=")</f>
        <v>#REF!</v>
      </c>
      <c r="BX6" t="e">
        <f>IF(Output!#REF!,"AAAAAH9/e0s=",0)</f>
        <v>#REF!</v>
      </c>
      <c r="BY6" t="e">
        <f>AND(Output!#REF!,"AAAAAH9/e0w=")</f>
        <v>#REF!</v>
      </c>
      <c r="BZ6" t="e">
        <f>AND(Output!#REF!,"AAAAAH9/e00=")</f>
        <v>#REF!</v>
      </c>
      <c r="CA6" t="e">
        <f>AND(Output!#REF!,"AAAAAH9/e04=")</f>
        <v>#REF!</v>
      </c>
      <c r="CB6" t="e">
        <f>AND(Output!#REF!,"AAAAAH9/e08=")</f>
        <v>#REF!</v>
      </c>
      <c r="CC6" t="e">
        <f>AND(Output!#REF!,"AAAAAH9/e1A=")</f>
        <v>#REF!</v>
      </c>
      <c r="CD6" t="e">
        <f>AND(Output!#REF!,"AAAAAH9/e1E=")</f>
        <v>#REF!</v>
      </c>
      <c r="CE6" t="e">
        <f>AND(Output!#REF!,"AAAAAH9/e1I=")</f>
        <v>#REF!</v>
      </c>
      <c r="CF6" t="e">
        <f>AND(Output!#REF!,"AAAAAH9/e1M=")</f>
        <v>#REF!</v>
      </c>
      <c r="CG6" t="e">
        <f>AND(Output!#REF!,"AAAAAH9/e1Q=")</f>
        <v>#REF!</v>
      </c>
      <c r="CH6" t="e">
        <f>AND(Output!#REF!,"AAAAAH9/e1U=")</f>
        <v>#REF!</v>
      </c>
      <c r="CI6" t="e">
        <f>AND(Output!#REF!,"AAAAAH9/e1Y=")</f>
        <v>#REF!</v>
      </c>
      <c r="CJ6" t="e">
        <f>AND(Output!#REF!,"AAAAAH9/e1c=")</f>
        <v>#REF!</v>
      </c>
      <c r="CK6" t="e">
        <f>IF(Output!#REF!,"AAAAAH9/e1g=",0)</f>
        <v>#REF!</v>
      </c>
      <c r="CL6" t="e">
        <f>AND(Output!#REF!,"AAAAAH9/e1k=")</f>
        <v>#REF!</v>
      </c>
      <c r="CM6" t="e">
        <f>AND(Output!#REF!,"AAAAAH9/e1o=")</f>
        <v>#REF!</v>
      </c>
      <c r="CN6" t="e">
        <f>AND(Output!#REF!,"AAAAAH9/e1s=")</f>
        <v>#REF!</v>
      </c>
      <c r="CO6" t="e">
        <f>AND(Output!#REF!,"AAAAAH9/e1w=")</f>
        <v>#REF!</v>
      </c>
      <c r="CP6" t="e">
        <f>AND(Output!#REF!,"AAAAAH9/e10=")</f>
        <v>#REF!</v>
      </c>
      <c r="CQ6" t="e">
        <f>AND(Output!#REF!,"AAAAAH9/e14=")</f>
        <v>#REF!</v>
      </c>
      <c r="CR6" t="e">
        <f>AND(Output!#REF!,"AAAAAH9/e18=")</f>
        <v>#REF!</v>
      </c>
      <c r="CS6" t="e">
        <f>AND(Output!#REF!,"AAAAAH9/e2A=")</f>
        <v>#REF!</v>
      </c>
      <c r="CT6" t="e">
        <f>AND(Output!#REF!,"AAAAAH9/e2E=")</f>
        <v>#REF!</v>
      </c>
      <c r="CU6" t="e">
        <f>AND(Output!#REF!,"AAAAAH9/e2I=")</f>
        <v>#REF!</v>
      </c>
      <c r="CV6" t="e">
        <f>AND(Output!#REF!,"AAAAAH9/e2M=")</f>
        <v>#REF!</v>
      </c>
      <c r="CW6" t="e">
        <f>AND(Output!#REF!,"AAAAAH9/e2Q=")</f>
        <v>#REF!</v>
      </c>
      <c r="CX6" t="e">
        <f>IF(Output!#REF!,"AAAAAH9/e2U=",0)</f>
        <v>#REF!</v>
      </c>
      <c r="CY6" t="e">
        <f>AND(Output!#REF!,"AAAAAH9/e2Y=")</f>
        <v>#REF!</v>
      </c>
      <c r="CZ6" t="e">
        <f>AND(Output!#REF!,"AAAAAH9/e2c=")</f>
        <v>#REF!</v>
      </c>
      <c r="DA6" t="e">
        <f>AND(Output!#REF!,"AAAAAH9/e2g=")</f>
        <v>#REF!</v>
      </c>
      <c r="DB6" t="e">
        <f>AND(Output!#REF!,"AAAAAH9/e2k=")</f>
        <v>#REF!</v>
      </c>
      <c r="DC6" t="e">
        <f>AND(Output!#REF!,"AAAAAH9/e2o=")</f>
        <v>#REF!</v>
      </c>
      <c r="DD6" t="e">
        <f>AND(Output!#REF!,"AAAAAH9/e2s=")</f>
        <v>#REF!</v>
      </c>
      <c r="DE6" t="e">
        <f>AND(Output!#REF!,"AAAAAH9/e2w=")</f>
        <v>#REF!</v>
      </c>
      <c r="DF6" t="e">
        <f>AND(Output!#REF!,"AAAAAH9/e20=")</f>
        <v>#REF!</v>
      </c>
      <c r="DG6" t="e">
        <f>AND(Output!#REF!,"AAAAAH9/e24=")</f>
        <v>#REF!</v>
      </c>
      <c r="DH6" t="e">
        <f>AND(Output!#REF!,"AAAAAH9/e28=")</f>
        <v>#REF!</v>
      </c>
      <c r="DI6" t="e">
        <f>AND(Output!#REF!,"AAAAAH9/e3A=")</f>
        <v>#REF!</v>
      </c>
      <c r="DJ6" t="e">
        <f>AND(Output!#REF!,"AAAAAH9/e3E=")</f>
        <v>#REF!</v>
      </c>
      <c r="DK6" t="e">
        <f>IF(Output!#REF!,"AAAAAH9/e3I=",0)</f>
        <v>#REF!</v>
      </c>
      <c r="DL6" t="e">
        <f>AND(Output!#REF!,"AAAAAH9/e3M=")</f>
        <v>#REF!</v>
      </c>
      <c r="DM6" t="e">
        <f>AND(Output!#REF!,"AAAAAH9/e3Q=")</f>
        <v>#REF!</v>
      </c>
      <c r="DN6" t="e">
        <f>AND(Output!#REF!,"AAAAAH9/e3U=")</f>
        <v>#REF!</v>
      </c>
      <c r="DO6" t="e">
        <f>AND(Output!#REF!,"AAAAAH9/e3Y=")</f>
        <v>#REF!</v>
      </c>
      <c r="DP6" t="e">
        <f>AND(Output!#REF!,"AAAAAH9/e3c=")</f>
        <v>#REF!</v>
      </c>
      <c r="DQ6" t="e">
        <f>AND(Output!#REF!,"AAAAAH9/e3g=")</f>
        <v>#REF!</v>
      </c>
      <c r="DR6" t="e">
        <f>AND(Output!#REF!,"AAAAAH9/e3k=")</f>
        <v>#REF!</v>
      </c>
      <c r="DS6" t="e">
        <f>AND(Output!#REF!,"AAAAAH9/e3o=")</f>
        <v>#REF!</v>
      </c>
      <c r="DT6" t="e">
        <f>AND(Output!#REF!,"AAAAAH9/e3s=")</f>
        <v>#REF!</v>
      </c>
      <c r="DU6" t="e">
        <f>AND(Output!#REF!,"AAAAAH9/e3w=")</f>
        <v>#REF!</v>
      </c>
      <c r="DV6" t="e">
        <f>AND(Output!#REF!,"AAAAAH9/e30=")</f>
        <v>#REF!</v>
      </c>
      <c r="DW6" t="e">
        <f>AND(Output!#REF!,"AAAAAH9/e34=")</f>
        <v>#REF!</v>
      </c>
      <c r="DX6" t="e">
        <f>IF(Output!#REF!,"AAAAAH9/e38=",0)</f>
        <v>#REF!</v>
      </c>
      <c r="DY6" t="e">
        <f>AND(Output!#REF!,"AAAAAH9/e4A=")</f>
        <v>#REF!</v>
      </c>
      <c r="DZ6" t="e">
        <f>AND(Output!#REF!,"AAAAAH9/e4E=")</f>
        <v>#REF!</v>
      </c>
      <c r="EA6" t="e">
        <f>AND(Output!#REF!,"AAAAAH9/e4I=")</f>
        <v>#REF!</v>
      </c>
      <c r="EB6" t="e">
        <f>AND(Output!#REF!,"AAAAAH9/e4M=")</f>
        <v>#REF!</v>
      </c>
      <c r="EC6" t="e">
        <f>AND(Output!#REF!,"AAAAAH9/e4Q=")</f>
        <v>#REF!</v>
      </c>
      <c r="ED6" t="e">
        <f>AND(Output!#REF!,"AAAAAH9/e4U=")</f>
        <v>#REF!</v>
      </c>
      <c r="EE6" t="e">
        <f>AND(Output!#REF!,"AAAAAH9/e4Y=")</f>
        <v>#REF!</v>
      </c>
      <c r="EF6" t="e">
        <f>AND(Output!#REF!,"AAAAAH9/e4c=")</f>
        <v>#REF!</v>
      </c>
      <c r="EG6" t="e">
        <f>AND(Output!#REF!,"AAAAAH9/e4g=")</f>
        <v>#REF!</v>
      </c>
      <c r="EH6" t="e">
        <f>AND(Output!#REF!,"AAAAAH9/e4k=")</f>
        <v>#REF!</v>
      </c>
      <c r="EI6" t="e">
        <f>AND(Output!#REF!,"AAAAAH9/e4o=")</f>
        <v>#REF!</v>
      </c>
      <c r="EJ6" t="e">
        <f>AND(Output!#REF!,"AAAAAH9/e4s=")</f>
        <v>#REF!</v>
      </c>
      <c r="EK6" t="e">
        <f>IF(Output!#REF!,"AAAAAH9/e4w=",0)</f>
        <v>#REF!</v>
      </c>
      <c r="EL6" t="e">
        <f>AND(Output!#REF!,"AAAAAH9/e40=")</f>
        <v>#REF!</v>
      </c>
      <c r="EM6" t="e">
        <f>AND(Output!#REF!,"AAAAAH9/e44=")</f>
        <v>#REF!</v>
      </c>
      <c r="EN6" t="e">
        <f>AND(Output!#REF!,"AAAAAH9/e48=")</f>
        <v>#REF!</v>
      </c>
      <c r="EO6" t="e">
        <f>AND(Output!#REF!,"AAAAAH9/e5A=")</f>
        <v>#REF!</v>
      </c>
      <c r="EP6" t="e">
        <f>AND(Output!#REF!,"AAAAAH9/e5E=")</f>
        <v>#REF!</v>
      </c>
      <c r="EQ6" t="e">
        <f>AND(Output!#REF!,"AAAAAH9/e5I=")</f>
        <v>#REF!</v>
      </c>
      <c r="ER6" t="e">
        <f>AND(Output!#REF!,"AAAAAH9/e5M=")</f>
        <v>#REF!</v>
      </c>
      <c r="ES6" t="e">
        <f>AND(Output!#REF!,"AAAAAH9/e5Q=")</f>
        <v>#REF!</v>
      </c>
      <c r="ET6" t="e">
        <f>AND(Output!#REF!,"AAAAAH9/e5U=")</f>
        <v>#REF!</v>
      </c>
      <c r="EU6" t="e">
        <f>AND(Output!#REF!,"AAAAAH9/e5Y=")</f>
        <v>#REF!</v>
      </c>
      <c r="EV6" t="e">
        <f>AND(Output!#REF!,"AAAAAH9/e5c=")</f>
        <v>#REF!</v>
      </c>
      <c r="EW6" t="e">
        <f>AND(Output!#REF!,"AAAAAH9/e5g=")</f>
        <v>#REF!</v>
      </c>
      <c r="EX6" t="e">
        <f>IF(Output!#REF!,"AAAAAH9/e5k=",0)</f>
        <v>#REF!</v>
      </c>
      <c r="EY6" t="e">
        <f>AND(Output!#REF!,"AAAAAH9/e5o=")</f>
        <v>#REF!</v>
      </c>
      <c r="EZ6" t="e">
        <f>AND(Output!#REF!,"AAAAAH9/e5s=")</f>
        <v>#REF!</v>
      </c>
      <c r="FA6" t="e">
        <f>AND(Output!#REF!,"AAAAAH9/e5w=")</f>
        <v>#REF!</v>
      </c>
      <c r="FB6" t="e">
        <f>AND(Output!#REF!,"AAAAAH9/e50=")</f>
        <v>#REF!</v>
      </c>
      <c r="FC6" t="e">
        <f>AND(Output!#REF!,"AAAAAH9/e54=")</f>
        <v>#REF!</v>
      </c>
      <c r="FD6" t="e">
        <f>AND(Output!#REF!,"AAAAAH9/e58=")</f>
        <v>#REF!</v>
      </c>
      <c r="FE6" t="e">
        <f>AND(Output!#REF!,"AAAAAH9/e6A=")</f>
        <v>#REF!</v>
      </c>
      <c r="FF6" t="e">
        <f>AND(Output!#REF!,"AAAAAH9/e6E=")</f>
        <v>#REF!</v>
      </c>
      <c r="FG6" t="e">
        <f>AND(Output!#REF!,"AAAAAH9/e6I=")</f>
        <v>#REF!</v>
      </c>
      <c r="FH6" t="e">
        <f>AND(Output!#REF!,"AAAAAH9/e6M=")</f>
        <v>#REF!</v>
      </c>
      <c r="FI6" t="e">
        <f>AND(Output!#REF!,"AAAAAH9/e6Q=")</f>
        <v>#REF!</v>
      </c>
      <c r="FJ6" t="e">
        <f>AND(Output!#REF!,"AAAAAH9/e6U=")</f>
        <v>#REF!</v>
      </c>
      <c r="FK6" t="e">
        <f>IF(Output!#REF!,"AAAAAH9/e6Y=",0)</f>
        <v>#REF!</v>
      </c>
      <c r="FL6" t="e">
        <f>AND(Output!#REF!,"AAAAAH9/e6c=")</f>
        <v>#REF!</v>
      </c>
      <c r="FM6" t="e">
        <f>AND(Output!#REF!,"AAAAAH9/e6g=")</f>
        <v>#REF!</v>
      </c>
      <c r="FN6" t="e">
        <f>AND(Output!#REF!,"AAAAAH9/e6k=")</f>
        <v>#REF!</v>
      </c>
      <c r="FO6" t="e">
        <f>AND(Output!#REF!,"AAAAAH9/e6o=")</f>
        <v>#REF!</v>
      </c>
      <c r="FP6" t="e">
        <f>AND(Output!#REF!,"AAAAAH9/e6s=")</f>
        <v>#REF!</v>
      </c>
      <c r="FQ6" t="e">
        <f>AND(Output!#REF!,"AAAAAH9/e6w=")</f>
        <v>#REF!</v>
      </c>
      <c r="FR6" t="e">
        <f>AND(Output!#REF!,"AAAAAH9/e60=")</f>
        <v>#REF!</v>
      </c>
      <c r="FS6" t="e">
        <f>AND(Output!#REF!,"AAAAAH9/e64=")</f>
        <v>#REF!</v>
      </c>
      <c r="FT6" t="e">
        <f>AND(Output!#REF!,"AAAAAH9/e68=")</f>
        <v>#REF!</v>
      </c>
      <c r="FU6" t="e">
        <f>AND(Output!#REF!,"AAAAAH9/e7A=")</f>
        <v>#REF!</v>
      </c>
      <c r="FV6" t="e">
        <f>AND(Output!#REF!,"AAAAAH9/e7E=")</f>
        <v>#REF!</v>
      </c>
      <c r="FW6" t="e">
        <f>AND(Output!#REF!,"AAAAAH9/e7I=")</f>
        <v>#REF!</v>
      </c>
      <c r="FX6" t="e">
        <f>IF(Output!#REF!,"AAAAAH9/e7M=",0)</f>
        <v>#REF!</v>
      </c>
      <c r="FY6" t="e">
        <f>AND(Output!#REF!,"AAAAAH9/e7Q=")</f>
        <v>#REF!</v>
      </c>
      <c r="FZ6" t="e">
        <f>AND(Output!#REF!,"AAAAAH9/e7U=")</f>
        <v>#REF!</v>
      </c>
      <c r="GA6" t="e">
        <f>AND(Output!#REF!,"AAAAAH9/e7Y=")</f>
        <v>#REF!</v>
      </c>
      <c r="GB6" t="e">
        <f>AND(Output!#REF!,"AAAAAH9/e7c=")</f>
        <v>#REF!</v>
      </c>
      <c r="GC6" t="e">
        <f>AND(Output!#REF!,"AAAAAH9/e7g=")</f>
        <v>#REF!</v>
      </c>
      <c r="GD6" t="e">
        <f>AND(Output!#REF!,"AAAAAH9/e7k=")</f>
        <v>#REF!</v>
      </c>
      <c r="GE6" t="e">
        <f>AND(Output!#REF!,"AAAAAH9/e7o=")</f>
        <v>#REF!</v>
      </c>
      <c r="GF6" t="e">
        <f>AND(Output!#REF!,"AAAAAH9/e7s=")</f>
        <v>#REF!</v>
      </c>
      <c r="GG6" t="e">
        <f>AND(Output!#REF!,"AAAAAH9/e7w=")</f>
        <v>#REF!</v>
      </c>
      <c r="GH6" t="e">
        <f>AND(Output!#REF!,"AAAAAH9/e70=")</f>
        <v>#REF!</v>
      </c>
      <c r="GI6" t="e">
        <f>AND(Output!#REF!,"AAAAAH9/e74=")</f>
        <v>#REF!</v>
      </c>
      <c r="GJ6" t="e">
        <f>AND(Output!#REF!,"AAAAAH9/e78=")</f>
        <v>#REF!</v>
      </c>
      <c r="GK6" t="e">
        <f>IF(Output!#REF!,"AAAAAH9/e8A=",0)</f>
        <v>#REF!</v>
      </c>
      <c r="GL6" t="e">
        <f>AND(Output!#REF!,"AAAAAH9/e8E=")</f>
        <v>#REF!</v>
      </c>
      <c r="GM6" t="e">
        <f>AND(Output!#REF!,"AAAAAH9/e8I=")</f>
        <v>#REF!</v>
      </c>
      <c r="GN6" t="e">
        <f>AND(Output!#REF!,"AAAAAH9/e8M=")</f>
        <v>#REF!</v>
      </c>
      <c r="GO6" t="e">
        <f>AND(Output!#REF!,"AAAAAH9/e8Q=")</f>
        <v>#REF!</v>
      </c>
      <c r="GP6" t="e">
        <f>AND(Output!#REF!,"AAAAAH9/e8U=")</f>
        <v>#REF!</v>
      </c>
      <c r="GQ6" t="e">
        <f>AND(Output!#REF!,"AAAAAH9/e8Y=")</f>
        <v>#REF!</v>
      </c>
      <c r="GR6" t="e">
        <f>AND(Output!#REF!,"AAAAAH9/e8c=")</f>
        <v>#REF!</v>
      </c>
      <c r="GS6" t="e">
        <f>AND(Output!#REF!,"AAAAAH9/e8g=")</f>
        <v>#REF!</v>
      </c>
      <c r="GT6" t="e">
        <f>AND(Output!#REF!,"AAAAAH9/e8k=")</f>
        <v>#REF!</v>
      </c>
      <c r="GU6" t="e">
        <f>AND(Output!#REF!,"AAAAAH9/e8o=")</f>
        <v>#REF!</v>
      </c>
      <c r="GV6" t="e">
        <f>AND(Output!#REF!,"AAAAAH9/e8s=")</f>
        <v>#REF!</v>
      </c>
      <c r="GW6" t="e">
        <f>AND(Output!#REF!,"AAAAAH9/e8w=")</f>
        <v>#REF!</v>
      </c>
      <c r="GX6" t="e">
        <f>IF(Output!#REF!,"AAAAAH9/e80=",0)</f>
        <v>#REF!</v>
      </c>
      <c r="GY6" t="e">
        <f>AND(Output!#REF!,"AAAAAH9/e84=")</f>
        <v>#REF!</v>
      </c>
      <c r="GZ6" t="e">
        <f>AND(Output!#REF!,"AAAAAH9/e88=")</f>
        <v>#REF!</v>
      </c>
      <c r="HA6" t="e">
        <f>AND(Output!#REF!,"AAAAAH9/e9A=")</f>
        <v>#REF!</v>
      </c>
      <c r="HB6" t="e">
        <f>AND(Output!#REF!,"AAAAAH9/e9E=")</f>
        <v>#REF!</v>
      </c>
      <c r="HC6" t="e">
        <f>AND(Output!#REF!,"AAAAAH9/e9I=")</f>
        <v>#REF!</v>
      </c>
      <c r="HD6" t="e">
        <f>AND(Output!#REF!,"AAAAAH9/e9M=")</f>
        <v>#REF!</v>
      </c>
      <c r="HE6" t="e">
        <f>AND(Output!#REF!,"AAAAAH9/e9Q=")</f>
        <v>#REF!</v>
      </c>
      <c r="HF6" t="e">
        <f>AND(Output!#REF!,"AAAAAH9/e9U=")</f>
        <v>#REF!</v>
      </c>
      <c r="HG6" t="e">
        <f>AND(Output!#REF!,"AAAAAH9/e9Y=")</f>
        <v>#REF!</v>
      </c>
      <c r="HH6" t="e">
        <f>AND(Output!#REF!,"AAAAAH9/e9c=")</f>
        <v>#REF!</v>
      </c>
      <c r="HI6" t="e">
        <f>AND(Output!#REF!,"AAAAAH9/e9g=")</f>
        <v>#REF!</v>
      </c>
      <c r="HJ6" t="e">
        <f>AND(Output!#REF!,"AAAAAH9/e9k=")</f>
        <v>#REF!</v>
      </c>
      <c r="HK6" t="e">
        <f>IF(Output!#REF!,"AAAAAH9/e9o=",0)</f>
        <v>#REF!</v>
      </c>
      <c r="HL6" t="e">
        <f>AND(Output!#REF!,"AAAAAH9/e9s=")</f>
        <v>#REF!</v>
      </c>
      <c r="HM6" t="e">
        <f>AND(Output!#REF!,"AAAAAH9/e9w=")</f>
        <v>#REF!</v>
      </c>
      <c r="HN6" t="e">
        <f>AND(Output!#REF!,"AAAAAH9/e90=")</f>
        <v>#REF!</v>
      </c>
      <c r="HO6" t="e">
        <f>AND(Output!#REF!,"AAAAAH9/e94=")</f>
        <v>#REF!</v>
      </c>
      <c r="HP6" t="e">
        <f>AND(Output!#REF!,"AAAAAH9/e98=")</f>
        <v>#REF!</v>
      </c>
      <c r="HQ6" t="e">
        <f>AND(Output!#REF!,"AAAAAH9/e+A=")</f>
        <v>#REF!</v>
      </c>
      <c r="HR6" t="e">
        <f>AND(Output!#REF!,"AAAAAH9/e+E=")</f>
        <v>#REF!</v>
      </c>
      <c r="HS6" t="e">
        <f>AND(Output!#REF!,"AAAAAH9/e+I=")</f>
        <v>#REF!</v>
      </c>
      <c r="HT6" t="e">
        <f>AND(Output!#REF!,"AAAAAH9/e+M=")</f>
        <v>#REF!</v>
      </c>
      <c r="HU6" t="e">
        <f>AND(Output!#REF!,"AAAAAH9/e+Q=")</f>
        <v>#REF!</v>
      </c>
      <c r="HV6" t="e">
        <f>AND(Output!#REF!,"AAAAAH9/e+U=")</f>
        <v>#REF!</v>
      </c>
      <c r="HW6" t="e">
        <f>AND(Output!#REF!,"AAAAAH9/e+Y=")</f>
        <v>#REF!</v>
      </c>
      <c r="HX6" t="e">
        <f>IF(Output!#REF!,"AAAAAH9/e+c=",0)</f>
        <v>#REF!</v>
      </c>
      <c r="HY6" t="e">
        <f>AND(Output!#REF!,"AAAAAH9/e+g=")</f>
        <v>#REF!</v>
      </c>
      <c r="HZ6" t="e">
        <f>AND(Output!#REF!,"AAAAAH9/e+k=")</f>
        <v>#REF!</v>
      </c>
      <c r="IA6" t="e">
        <f>AND(Output!#REF!,"AAAAAH9/e+o=")</f>
        <v>#REF!</v>
      </c>
      <c r="IB6" t="e">
        <f>AND(Output!#REF!,"AAAAAH9/e+s=")</f>
        <v>#REF!</v>
      </c>
      <c r="IC6" t="e">
        <f>AND(Output!#REF!,"AAAAAH9/e+w=")</f>
        <v>#REF!</v>
      </c>
      <c r="ID6" t="e">
        <f>AND(Output!#REF!,"AAAAAH9/e+0=")</f>
        <v>#REF!</v>
      </c>
      <c r="IE6" t="e">
        <f>AND(Output!#REF!,"AAAAAH9/e+4=")</f>
        <v>#REF!</v>
      </c>
      <c r="IF6" t="e">
        <f>AND(Output!#REF!,"AAAAAH9/e+8=")</f>
        <v>#REF!</v>
      </c>
      <c r="IG6" t="e">
        <f>AND(Output!#REF!,"AAAAAH9/e/A=")</f>
        <v>#REF!</v>
      </c>
      <c r="IH6" t="e">
        <f>AND(Output!#REF!,"AAAAAH9/e/E=")</f>
        <v>#REF!</v>
      </c>
      <c r="II6" t="e">
        <f>AND(Output!#REF!,"AAAAAH9/e/I=")</f>
        <v>#REF!</v>
      </c>
      <c r="IJ6" t="e">
        <f>AND(Output!#REF!,"AAAAAH9/e/M=")</f>
        <v>#REF!</v>
      </c>
      <c r="IK6" t="e">
        <f>IF(Output!#REF!,"AAAAAH9/e/Q=",0)</f>
        <v>#REF!</v>
      </c>
      <c r="IL6" t="e">
        <f>AND(Output!#REF!,"AAAAAH9/e/U=")</f>
        <v>#REF!</v>
      </c>
      <c r="IM6" t="e">
        <f>AND(Output!#REF!,"AAAAAH9/e/Y=")</f>
        <v>#REF!</v>
      </c>
      <c r="IN6" t="e">
        <f>AND(Output!#REF!,"AAAAAH9/e/c=")</f>
        <v>#REF!</v>
      </c>
      <c r="IO6" t="e">
        <f>AND(Output!#REF!,"AAAAAH9/e/g=")</f>
        <v>#REF!</v>
      </c>
      <c r="IP6" t="e">
        <f>AND(Output!#REF!,"AAAAAH9/e/k=")</f>
        <v>#REF!</v>
      </c>
      <c r="IQ6" t="e">
        <f>AND(Output!#REF!,"AAAAAH9/e/o=")</f>
        <v>#REF!</v>
      </c>
      <c r="IR6" t="e">
        <f>AND(Output!#REF!,"AAAAAH9/e/s=")</f>
        <v>#REF!</v>
      </c>
      <c r="IS6" t="e">
        <f>AND(Output!#REF!,"AAAAAH9/e/w=")</f>
        <v>#REF!</v>
      </c>
      <c r="IT6" t="e">
        <f>AND(Output!#REF!,"AAAAAH9/e/0=")</f>
        <v>#REF!</v>
      </c>
      <c r="IU6" t="e">
        <f>AND(Output!#REF!,"AAAAAH9/e/4=")</f>
        <v>#REF!</v>
      </c>
      <c r="IV6" t="e">
        <f>AND(Output!#REF!,"AAAAAH9/e/8=")</f>
        <v>#REF!</v>
      </c>
    </row>
    <row r="7" spans="1:256">
      <c r="A7" t="e">
        <f>AND(Output!#REF!,"AAAAAD1+LgA=")</f>
        <v>#REF!</v>
      </c>
      <c r="B7" t="e">
        <f>IF(Output!#REF!,"AAAAAD1+LgE=",0)</f>
        <v>#REF!</v>
      </c>
      <c r="C7" t="e">
        <f>AND(Output!#REF!,"AAAAAD1+LgI=")</f>
        <v>#REF!</v>
      </c>
      <c r="D7" t="e">
        <f>AND(Output!#REF!,"AAAAAD1+LgM=")</f>
        <v>#REF!</v>
      </c>
      <c r="E7" t="e">
        <f>AND(Output!#REF!,"AAAAAD1+LgQ=")</f>
        <v>#REF!</v>
      </c>
      <c r="F7" t="e">
        <f>AND(Output!#REF!,"AAAAAD1+LgU=")</f>
        <v>#REF!</v>
      </c>
      <c r="G7" t="e">
        <f>AND(Output!#REF!,"AAAAAD1+LgY=")</f>
        <v>#REF!</v>
      </c>
      <c r="H7" t="e">
        <f>AND(Output!#REF!,"AAAAAD1+Lgc=")</f>
        <v>#REF!</v>
      </c>
      <c r="I7" t="e">
        <f>AND(Output!#REF!,"AAAAAD1+Lgg=")</f>
        <v>#REF!</v>
      </c>
      <c r="J7" t="e">
        <f>AND(Output!#REF!,"AAAAAD1+Lgk=")</f>
        <v>#REF!</v>
      </c>
      <c r="K7" t="e">
        <f>AND(Output!#REF!,"AAAAAD1+Lgo=")</f>
        <v>#REF!</v>
      </c>
      <c r="L7" t="e">
        <f>AND(Output!#REF!,"AAAAAD1+Lgs=")</f>
        <v>#REF!</v>
      </c>
      <c r="M7" t="e">
        <f>AND(Output!#REF!,"AAAAAD1+Lgw=")</f>
        <v>#REF!</v>
      </c>
      <c r="N7" t="e">
        <f>AND(Output!#REF!,"AAAAAD1+Lg0=")</f>
        <v>#REF!</v>
      </c>
      <c r="O7" t="e">
        <f>IF(Output!#REF!,"AAAAAD1+Lg4=",0)</f>
        <v>#REF!</v>
      </c>
      <c r="P7" t="e">
        <f>AND(Output!#REF!,"AAAAAD1+Lg8=")</f>
        <v>#REF!</v>
      </c>
      <c r="Q7" t="e">
        <f>AND(Output!#REF!,"AAAAAD1+LhA=")</f>
        <v>#REF!</v>
      </c>
      <c r="R7" t="e">
        <f>AND(Output!#REF!,"AAAAAD1+LhE=")</f>
        <v>#REF!</v>
      </c>
      <c r="S7" t="e">
        <f>AND(Output!#REF!,"AAAAAD1+LhI=")</f>
        <v>#REF!</v>
      </c>
      <c r="T7" t="e">
        <f>AND(Output!#REF!,"AAAAAD1+LhM=")</f>
        <v>#REF!</v>
      </c>
      <c r="U7" t="e">
        <f>AND(Output!#REF!,"AAAAAD1+LhQ=")</f>
        <v>#REF!</v>
      </c>
      <c r="V7" t="e">
        <f>AND(Output!#REF!,"AAAAAD1+LhU=")</f>
        <v>#REF!</v>
      </c>
      <c r="W7" t="e">
        <f>AND(Output!#REF!,"AAAAAD1+LhY=")</f>
        <v>#REF!</v>
      </c>
      <c r="X7" t="e">
        <f>AND(Output!#REF!,"AAAAAD1+Lhc=")</f>
        <v>#REF!</v>
      </c>
      <c r="Y7" t="e">
        <f>AND(Output!#REF!,"AAAAAD1+Lhg=")</f>
        <v>#REF!</v>
      </c>
      <c r="Z7" t="e">
        <f>AND(Output!#REF!,"AAAAAD1+Lhk=")</f>
        <v>#REF!</v>
      </c>
      <c r="AA7" t="e">
        <f>AND(Output!#REF!,"AAAAAD1+Lho=")</f>
        <v>#REF!</v>
      </c>
      <c r="AB7" t="e">
        <f>IF(Output!#REF!,"AAAAAD1+Lhs=",0)</f>
        <v>#REF!</v>
      </c>
      <c r="AC7" t="e">
        <f>AND(Output!#REF!,"AAAAAD1+Lhw=")</f>
        <v>#REF!</v>
      </c>
      <c r="AD7" t="e">
        <f>AND(Output!#REF!,"AAAAAD1+Lh0=")</f>
        <v>#REF!</v>
      </c>
      <c r="AE7" t="e">
        <f>AND(Output!#REF!,"AAAAAD1+Lh4=")</f>
        <v>#REF!</v>
      </c>
      <c r="AF7" t="e">
        <f>AND(Output!#REF!,"AAAAAD1+Lh8=")</f>
        <v>#REF!</v>
      </c>
      <c r="AG7" t="e">
        <f>AND(Output!#REF!,"AAAAAD1+LiA=")</f>
        <v>#REF!</v>
      </c>
      <c r="AH7" t="e">
        <f>AND(Output!#REF!,"AAAAAD1+LiE=")</f>
        <v>#REF!</v>
      </c>
      <c r="AI7" t="e">
        <f>AND(Output!#REF!,"AAAAAD1+LiI=")</f>
        <v>#REF!</v>
      </c>
      <c r="AJ7" t="e">
        <f>AND(Output!#REF!,"AAAAAD1+LiM=")</f>
        <v>#REF!</v>
      </c>
      <c r="AK7" t="e">
        <f>AND(Output!#REF!,"AAAAAD1+LiQ=")</f>
        <v>#REF!</v>
      </c>
      <c r="AL7" t="e">
        <f>AND(Output!#REF!,"AAAAAD1+LiU=")</f>
        <v>#REF!</v>
      </c>
      <c r="AM7" t="e">
        <f>AND(Output!#REF!,"AAAAAD1+LiY=")</f>
        <v>#REF!</v>
      </c>
      <c r="AN7" t="e">
        <f>AND(Output!#REF!,"AAAAAD1+Lic=")</f>
        <v>#REF!</v>
      </c>
      <c r="AO7" t="e">
        <f>IF(Output!#REF!,"AAAAAD1+Lig=",0)</f>
        <v>#REF!</v>
      </c>
      <c r="AP7" t="e">
        <f>AND(Output!#REF!,"AAAAAD1+Lik=")</f>
        <v>#REF!</v>
      </c>
      <c r="AQ7" t="e">
        <f>AND(Output!#REF!,"AAAAAD1+Lio=")</f>
        <v>#REF!</v>
      </c>
      <c r="AR7" t="e">
        <f>AND(Output!#REF!,"AAAAAD1+Lis=")</f>
        <v>#REF!</v>
      </c>
      <c r="AS7" t="e">
        <f>AND(Output!#REF!,"AAAAAD1+Liw=")</f>
        <v>#REF!</v>
      </c>
      <c r="AT7" t="e">
        <f>AND(Output!#REF!,"AAAAAD1+Li0=")</f>
        <v>#REF!</v>
      </c>
      <c r="AU7" t="e">
        <f>AND(Output!#REF!,"AAAAAD1+Li4=")</f>
        <v>#REF!</v>
      </c>
      <c r="AV7" t="e">
        <f>AND(Output!#REF!,"AAAAAD1+Li8=")</f>
        <v>#REF!</v>
      </c>
      <c r="AW7" t="e">
        <f>AND(Output!#REF!,"AAAAAD1+LjA=")</f>
        <v>#REF!</v>
      </c>
      <c r="AX7" t="e">
        <f>AND(Output!#REF!,"AAAAAD1+LjE=")</f>
        <v>#REF!</v>
      </c>
      <c r="AY7" t="e">
        <f>AND(Output!#REF!,"AAAAAD1+LjI=")</f>
        <v>#REF!</v>
      </c>
      <c r="AZ7" t="e">
        <f>AND(Output!#REF!,"AAAAAD1+LjM=")</f>
        <v>#REF!</v>
      </c>
      <c r="BA7" t="e">
        <f>AND(Output!#REF!,"AAAAAD1+LjQ=")</f>
        <v>#REF!</v>
      </c>
      <c r="BB7" t="e">
        <f>IF(Output!#REF!,"AAAAAD1+LjU=",0)</f>
        <v>#REF!</v>
      </c>
      <c r="BC7" t="e">
        <f>AND(Output!#REF!,"AAAAAD1+LjY=")</f>
        <v>#REF!</v>
      </c>
      <c r="BD7" t="e">
        <f>AND(Output!#REF!,"AAAAAD1+Ljc=")</f>
        <v>#REF!</v>
      </c>
      <c r="BE7" t="e">
        <f>AND(Output!#REF!,"AAAAAD1+Ljg=")</f>
        <v>#REF!</v>
      </c>
      <c r="BF7" t="e">
        <f>AND(Output!#REF!,"AAAAAD1+Ljk=")</f>
        <v>#REF!</v>
      </c>
      <c r="BG7" t="e">
        <f>AND(Output!#REF!,"AAAAAD1+Ljo=")</f>
        <v>#REF!</v>
      </c>
      <c r="BH7" t="e">
        <f>AND(Output!#REF!,"AAAAAD1+Ljs=")</f>
        <v>#REF!</v>
      </c>
      <c r="BI7" t="e">
        <f>AND(Output!#REF!,"AAAAAD1+Ljw=")</f>
        <v>#REF!</v>
      </c>
      <c r="BJ7" t="e">
        <f>AND(Output!#REF!,"AAAAAD1+Lj0=")</f>
        <v>#REF!</v>
      </c>
      <c r="BK7" t="e">
        <f>AND(Output!#REF!,"AAAAAD1+Lj4=")</f>
        <v>#REF!</v>
      </c>
      <c r="BL7" t="e">
        <f>AND(Output!#REF!,"AAAAAD1+Lj8=")</f>
        <v>#REF!</v>
      </c>
      <c r="BM7" t="e">
        <f>AND(Output!#REF!,"AAAAAD1+LkA=")</f>
        <v>#REF!</v>
      </c>
      <c r="BN7" t="e">
        <f>AND(Output!#REF!,"AAAAAD1+LkE=")</f>
        <v>#REF!</v>
      </c>
      <c r="BO7" t="e">
        <f>IF(Output!#REF!,"AAAAAD1+LkI=",0)</f>
        <v>#REF!</v>
      </c>
      <c r="BP7" t="e">
        <f>AND(Output!#REF!,"AAAAAD1+LkM=")</f>
        <v>#REF!</v>
      </c>
      <c r="BQ7" t="e">
        <f>AND(Output!#REF!,"AAAAAD1+LkQ=")</f>
        <v>#REF!</v>
      </c>
      <c r="BR7" t="e">
        <f>AND(Output!#REF!,"AAAAAD1+LkU=")</f>
        <v>#REF!</v>
      </c>
      <c r="BS7" t="e">
        <f>AND(Output!#REF!,"AAAAAD1+LkY=")</f>
        <v>#REF!</v>
      </c>
      <c r="BT7" t="e">
        <f>AND(Output!#REF!,"AAAAAD1+Lkc=")</f>
        <v>#REF!</v>
      </c>
      <c r="BU7" t="e">
        <f>AND(Output!#REF!,"AAAAAD1+Lkg=")</f>
        <v>#REF!</v>
      </c>
      <c r="BV7" t="e">
        <f>AND(Output!#REF!,"AAAAAD1+Lkk=")</f>
        <v>#REF!</v>
      </c>
      <c r="BW7" t="e">
        <f>AND(Output!#REF!,"AAAAAD1+Lko=")</f>
        <v>#REF!</v>
      </c>
      <c r="BX7" t="e">
        <f>AND(Output!#REF!,"AAAAAD1+Lks=")</f>
        <v>#REF!</v>
      </c>
      <c r="BY7" t="e">
        <f>AND(Output!#REF!,"AAAAAD1+Lkw=")</f>
        <v>#REF!</v>
      </c>
      <c r="BZ7" t="e">
        <f>AND(Output!#REF!,"AAAAAD1+Lk0=")</f>
        <v>#REF!</v>
      </c>
      <c r="CA7" t="e">
        <f>AND(Output!#REF!,"AAAAAD1+Lk4=")</f>
        <v>#REF!</v>
      </c>
      <c r="CB7" t="e">
        <f>IF(Output!#REF!,"AAAAAD1+Lk8=",0)</f>
        <v>#REF!</v>
      </c>
      <c r="CC7" t="e">
        <f>AND(Output!#REF!,"AAAAAD1+LlA=")</f>
        <v>#REF!</v>
      </c>
      <c r="CD7" t="e">
        <f>AND(Output!#REF!,"AAAAAD1+LlE=")</f>
        <v>#REF!</v>
      </c>
      <c r="CE7" t="e">
        <f>AND(Output!#REF!,"AAAAAD1+LlI=")</f>
        <v>#REF!</v>
      </c>
      <c r="CF7" t="e">
        <f>AND(Output!#REF!,"AAAAAD1+LlM=")</f>
        <v>#REF!</v>
      </c>
      <c r="CG7" t="e">
        <f>AND(Output!#REF!,"AAAAAD1+LlQ=")</f>
        <v>#REF!</v>
      </c>
      <c r="CH7" t="e">
        <f>AND(Output!#REF!,"AAAAAD1+LlU=")</f>
        <v>#REF!</v>
      </c>
      <c r="CI7" t="e">
        <f>AND(Output!#REF!,"AAAAAD1+LlY=")</f>
        <v>#REF!</v>
      </c>
      <c r="CJ7" t="e">
        <f>AND(Output!#REF!,"AAAAAD1+Llc=")</f>
        <v>#REF!</v>
      </c>
      <c r="CK7" t="e">
        <f>AND(Output!#REF!,"AAAAAD1+Llg=")</f>
        <v>#REF!</v>
      </c>
      <c r="CL7" t="e">
        <f>AND(Output!#REF!,"AAAAAD1+Llk=")</f>
        <v>#REF!</v>
      </c>
      <c r="CM7" t="e">
        <f>AND(Output!#REF!,"AAAAAD1+Llo=")</f>
        <v>#REF!</v>
      </c>
      <c r="CN7" t="e">
        <f>AND(Output!#REF!,"AAAAAD1+Lls=")</f>
        <v>#REF!</v>
      </c>
      <c r="CO7" t="e">
        <f>IF(Output!#REF!,"AAAAAD1+Llw=",0)</f>
        <v>#REF!</v>
      </c>
      <c r="CP7" t="e">
        <f>AND(Output!#REF!,"AAAAAD1+Ll0=")</f>
        <v>#REF!</v>
      </c>
      <c r="CQ7" t="e">
        <f>AND(Output!#REF!,"AAAAAD1+Ll4=")</f>
        <v>#REF!</v>
      </c>
      <c r="CR7" t="e">
        <f>AND(Output!#REF!,"AAAAAD1+Ll8=")</f>
        <v>#REF!</v>
      </c>
      <c r="CS7" t="e">
        <f>AND(Output!#REF!,"AAAAAD1+LmA=")</f>
        <v>#REF!</v>
      </c>
      <c r="CT7" t="e">
        <f>AND(Output!#REF!,"AAAAAD1+LmE=")</f>
        <v>#REF!</v>
      </c>
      <c r="CU7" t="e">
        <f>AND(Output!#REF!,"AAAAAD1+LmI=")</f>
        <v>#REF!</v>
      </c>
      <c r="CV7" t="e">
        <f>AND(Output!#REF!,"AAAAAD1+LmM=")</f>
        <v>#REF!</v>
      </c>
      <c r="CW7" t="e">
        <f>AND(Output!#REF!,"AAAAAD1+LmQ=")</f>
        <v>#REF!</v>
      </c>
      <c r="CX7" t="e">
        <f>AND(Output!#REF!,"AAAAAD1+LmU=")</f>
        <v>#REF!</v>
      </c>
      <c r="CY7" t="e">
        <f>AND(Output!#REF!,"AAAAAD1+LmY=")</f>
        <v>#REF!</v>
      </c>
      <c r="CZ7" t="e">
        <f>AND(Output!#REF!,"AAAAAD1+Lmc=")</f>
        <v>#REF!</v>
      </c>
      <c r="DA7" t="e">
        <f>AND(Output!#REF!,"AAAAAD1+Lmg=")</f>
        <v>#REF!</v>
      </c>
      <c r="DB7" t="e">
        <f>IF(Output!#REF!,"AAAAAD1+Lmk=",0)</f>
        <v>#REF!</v>
      </c>
      <c r="DC7" t="e">
        <f>AND(Output!#REF!,"AAAAAD1+Lmo=")</f>
        <v>#REF!</v>
      </c>
      <c r="DD7" t="e">
        <f>AND(Output!#REF!,"AAAAAD1+Lms=")</f>
        <v>#REF!</v>
      </c>
      <c r="DE7" t="e">
        <f>AND(Output!#REF!,"AAAAAD1+Lmw=")</f>
        <v>#REF!</v>
      </c>
      <c r="DF7" t="e">
        <f>AND(Output!#REF!,"AAAAAD1+Lm0=")</f>
        <v>#REF!</v>
      </c>
      <c r="DG7" t="e">
        <f>AND(Output!#REF!,"AAAAAD1+Lm4=")</f>
        <v>#REF!</v>
      </c>
      <c r="DH7" t="e">
        <f>AND(Output!#REF!,"AAAAAD1+Lm8=")</f>
        <v>#REF!</v>
      </c>
      <c r="DI7" t="e">
        <f>AND(Output!#REF!,"AAAAAD1+LnA=")</f>
        <v>#REF!</v>
      </c>
      <c r="DJ7" t="e">
        <f>AND(Output!#REF!,"AAAAAD1+LnE=")</f>
        <v>#REF!</v>
      </c>
      <c r="DK7" t="e">
        <f>AND(Output!#REF!,"AAAAAD1+LnI=")</f>
        <v>#REF!</v>
      </c>
      <c r="DL7" t="e">
        <f>AND(Output!#REF!,"AAAAAD1+LnM=")</f>
        <v>#REF!</v>
      </c>
      <c r="DM7" t="e">
        <f>AND(Output!#REF!,"AAAAAD1+LnQ=")</f>
        <v>#REF!</v>
      </c>
      <c r="DN7" t="e">
        <f>AND(Output!#REF!,"AAAAAD1+LnU=")</f>
        <v>#REF!</v>
      </c>
      <c r="DO7" t="e">
        <f>IF(Output!#REF!,"AAAAAD1+LnY=",0)</f>
        <v>#REF!</v>
      </c>
      <c r="DP7" t="e">
        <f>AND(Output!#REF!,"AAAAAD1+Lnc=")</f>
        <v>#REF!</v>
      </c>
      <c r="DQ7" t="e">
        <f>AND(Output!#REF!,"AAAAAD1+Lng=")</f>
        <v>#REF!</v>
      </c>
      <c r="DR7" t="e">
        <f>AND(Output!#REF!,"AAAAAD1+Lnk=")</f>
        <v>#REF!</v>
      </c>
      <c r="DS7" t="e">
        <f>AND(Output!#REF!,"AAAAAD1+Lno=")</f>
        <v>#REF!</v>
      </c>
      <c r="DT7" t="e">
        <f>AND(Output!#REF!,"AAAAAD1+Lns=")</f>
        <v>#REF!</v>
      </c>
      <c r="DU7" t="e">
        <f>AND(Output!#REF!,"AAAAAD1+Lnw=")</f>
        <v>#REF!</v>
      </c>
      <c r="DV7" t="e">
        <f>AND(Output!#REF!,"AAAAAD1+Ln0=")</f>
        <v>#REF!</v>
      </c>
      <c r="DW7" t="e">
        <f>AND(Output!#REF!,"AAAAAD1+Ln4=")</f>
        <v>#REF!</v>
      </c>
      <c r="DX7" t="e">
        <f>AND(Output!#REF!,"AAAAAD1+Ln8=")</f>
        <v>#REF!</v>
      </c>
      <c r="DY7" t="e">
        <f>AND(Output!#REF!,"AAAAAD1+LoA=")</f>
        <v>#REF!</v>
      </c>
      <c r="DZ7" t="e">
        <f>AND(Output!#REF!,"AAAAAD1+LoE=")</f>
        <v>#REF!</v>
      </c>
      <c r="EA7" t="e">
        <f>AND(Output!#REF!,"AAAAAD1+LoI=")</f>
        <v>#REF!</v>
      </c>
      <c r="EB7" t="e">
        <f>IF(Output!#REF!,"AAAAAD1+LoM=",0)</f>
        <v>#REF!</v>
      </c>
      <c r="EC7" t="e">
        <f>AND(Output!#REF!,"AAAAAD1+LoQ=")</f>
        <v>#REF!</v>
      </c>
      <c r="ED7" t="e">
        <f>AND(Output!#REF!,"AAAAAD1+LoU=")</f>
        <v>#REF!</v>
      </c>
      <c r="EE7" t="e">
        <f>AND(Output!#REF!,"AAAAAD1+LoY=")</f>
        <v>#REF!</v>
      </c>
      <c r="EF7" t="e">
        <f>AND(Output!#REF!,"AAAAAD1+Loc=")</f>
        <v>#REF!</v>
      </c>
      <c r="EG7" t="e">
        <f>AND(Output!#REF!,"AAAAAD1+Log=")</f>
        <v>#REF!</v>
      </c>
      <c r="EH7" t="e">
        <f>AND(Output!#REF!,"AAAAAD1+Lok=")</f>
        <v>#REF!</v>
      </c>
      <c r="EI7" t="e">
        <f>AND(Output!#REF!,"AAAAAD1+Loo=")</f>
        <v>#REF!</v>
      </c>
      <c r="EJ7" t="e">
        <f>AND(Output!#REF!,"AAAAAD1+Los=")</f>
        <v>#REF!</v>
      </c>
      <c r="EK7" t="e">
        <f>AND(Output!#REF!,"AAAAAD1+Low=")</f>
        <v>#REF!</v>
      </c>
      <c r="EL7" t="e">
        <f>AND(Output!#REF!,"AAAAAD1+Lo0=")</f>
        <v>#REF!</v>
      </c>
      <c r="EM7" t="e">
        <f>AND(Output!#REF!,"AAAAAD1+Lo4=")</f>
        <v>#REF!</v>
      </c>
      <c r="EN7" t="e">
        <f>AND(Output!#REF!,"AAAAAD1+Lo8=")</f>
        <v>#REF!</v>
      </c>
      <c r="EO7" t="e">
        <f>IF(Output!#REF!,"AAAAAD1+LpA=",0)</f>
        <v>#REF!</v>
      </c>
      <c r="EP7" t="e">
        <f>AND(Output!#REF!,"AAAAAD1+LpE=")</f>
        <v>#REF!</v>
      </c>
      <c r="EQ7" t="e">
        <f>AND(Output!#REF!,"AAAAAD1+LpI=")</f>
        <v>#REF!</v>
      </c>
      <c r="ER7" t="e">
        <f>AND(Output!#REF!,"AAAAAD1+LpM=")</f>
        <v>#REF!</v>
      </c>
      <c r="ES7" t="e">
        <f>AND(Output!#REF!,"AAAAAD1+LpQ=")</f>
        <v>#REF!</v>
      </c>
      <c r="ET7" t="e">
        <f>AND(Output!#REF!,"AAAAAD1+LpU=")</f>
        <v>#REF!</v>
      </c>
      <c r="EU7" t="e">
        <f>AND(Output!#REF!,"AAAAAD1+LpY=")</f>
        <v>#REF!</v>
      </c>
      <c r="EV7" t="e">
        <f>AND(Output!#REF!,"AAAAAD1+Lpc=")</f>
        <v>#REF!</v>
      </c>
      <c r="EW7" t="e">
        <f>AND(Output!#REF!,"AAAAAD1+Lpg=")</f>
        <v>#REF!</v>
      </c>
      <c r="EX7" t="e">
        <f>AND(Output!#REF!,"AAAAAD1+Lpk=")</f>
        <v>#REF!</v>
      </c>
      <c r="EY7" t="e">
        <f>AND(Output!#REF!,"AAAAAD1+Lpo=")</f>
        <v>#REF!</v>
      </c>
      <c r="EZ7" t="e">
        <f>AND(Output!#REF!,"AAAAAD1+Lps=")</f>
        <v>#REF!</v>
      </c>
      <c r="FA7" t="e">
        <f>AND(Output!#REF!,"AAAAAD1+Lpw=")</f>
        <v>#REF!</v>
      </c>
      <c r="FB7" t="e">
        <f>IF(Output!#REF!,"AAAAAD1+Lp0=",0)</f>
        <v>#REF!</v>
      </c>
      <c r="FC7" t="e">
        <f>AND(Output!#REF!,"AAAAAD1+Lp4=")</f>
        <v>#REF!</v>
      </c>
      <c r="FD7" t="e">
        <f>AND(Output!#REF!,"AAAAAD1+Lp8=")</f>
        <v>#REF!</v>
      </c>
      <c r="FE7" t="e">
        <f>AND(Output!#REF!,"AAAAAD1+LqA=")</f>
        <v>#REF!</v>
      </c>
      <c r="FF7" t="e">
        <f>AND(Output!#REF!,"AAAAAD1+LqE=")</f>
        <v>#REF!</v>
      </c>
      <c r="FG7" t="e">
        <f>AND(Output!#REF!,"AAAAAD1+LqI=")</f>
        <v>#REF!</v>
      </c>
      <c r="FH7" t="e">
        <f>AND(Output!#REF!,"AAAAAD1+LqM=")</f>
        <v>#REF!</v>
      </c>
      <c r="FI7" t="e">
        <f>AND(Output!#REF!,"AAAAAD1+LqQ=")</f>
        <v>#REF!</v>
      </c>
      <c r="FJ7" t="e">
        <f>AND(Output!#REF!,"AAAAAD1+LqU=")</f>
        <v>#REF!</v>
      </c>
      <c r="FK7" t="e">
        <f>AND(Output!#REF!,"AAAAAD1+LqY=")</f>
        <v>#REF!</v>
      </c>
      <c r="FL7" t="e">
        <f>AND(Output!#REF!,"AAAAAD1+Lqc=")</f>
        <v>#REF!</v>
      </c>
      <c r="FM7" t="e">
        <f>AND(Output!#REF!,"AAAAAD1+Lqg=")</f>
        <v>#REF!</v>
      </c>
      <c r="FN7" t="e">
        <f>AND(Output!#REF!,"AAAAAD1+Lqk=")</f>
        <v>#REF!</v>
      </c>
      <c r="FO7" t="e">
        <f>IF(Output!#REF!,"AAAAAD1+Lqo=",0)</f>
        <v>#REF!</v>
      </c>
      <c r="FP7" t="e">
        <f>AND(Output!#REF!,"AAAAAD1+Lqs=")</f>
        <v>#REF!</v>
      </c>
      <c r="FQ7" t="e">
        <f>AND(Output!#REF!,"AAAAAD1+Lqw=")</f>
        <v>#REF!</v>
      </c>
      <c r="FR7" t="e">
        <f>AND(Output!#REF!,"AAAAAD1+Lq0=")</f>
        <v>#REF!</v>
      </c>
      <c r="FS7" t="e">
        <f>AND(Output!#REF!,"AAAAAD1+Lq4=")</f>
        <v>#REF!</v>
      </c>
      <c r="FT7" t="e">
        <f>AND(Output!#REF!,"AAAAAD1+Lq8=")</f>
        <v>#REF!</v>
      </c>
      <c r="FU7" t="e">
        <f>AND(Output!#REF!,"AAAAAD1+LrA=")</f>
        <v>#REF!</v>
      </c>
      <c r="FV7" t="e">
        <f>AND(Output!#REF!,"AAAAAD1+LrE=")</f>
        <v>#REF!</v>
      </c>
      <c r="FW7" t="e">
        <f>AND(Output!#REF!,"AAAAAD1+LrI=")</f>
        <v>#REF!</v>
      </c>
      <c r="FX7" t="e">
        <f>AND(Output!#REF!,"AAAAAD1+LrM=")</f>
        <v>#REF!</v>
      </c>
      <c r="FY7" t="e">
        <f>AND(Output!#REF!,"AAAAAD1+LrQ=")</f>
        <v>#REF!</v>
      </c>
      <c r="FZ7" t="e">
        <f>AND(Output!#REF!,"AAAAAD1+LrU=")</f>
        <v>#REF!</v>
      </c>
      <c r="GA7" t="e">
        <f>AND(Output!#REF!,"AAAAAD1+LrY=")</f>
        <v>#REF!</v>
      </c>
      <c r="GB7" t="e">
        <f>IF(Output!#REF!,"AAAAAD1+Lrc=",0)</f>
        <v>#REF!</v>
      </c>
      <c r="GC7" t="e">
        <f>AND(Output!#REF!,"AAAAAD1+Lrg=")</f>
        <v>#REF!</v>
      </c>
      <c r="GD7" t="e">
        <f>AND(Output!#REF!,"AAAAAD1+Lrk=")</f>
        <v>#REF!</v>
      </c>
      <c r="GE7" t="e">
        <f>AND(Output!#REF!,"AAAAAD1+Lro=")</f>
        <v>#REF!</v>
      </c>
      <c r="GF7" t="e">
        <f>AND(Output!#REF!,"AAAAAD1+Lrs=")</f>
        <v>#REF!</v>
      </c>
      <c r="GG7" t="e">
        <f>AND(Output!#REF!,"AAAAAD1+Lrw=")</f>
        <v>#REF!</v>
      </c>
      <c r="GH7" t="e">
        <f>AND(Output!#REF!,"AAAAAD1+Lr0=")</f>
        <v>#REF!</v>
      </c>
      <c r="GI7" t="e">
        <f>AND(Output!#REF!,"AAAAAD1+Lr4=")</f>
        <v>#REF!</v>
      </c>
      <c r="GJ7" t="e">
        <f>AND(Output!#REF!,"AAAAAD1+Lr8=")</f>
        <v>#REF!</v>
      </c>
      <c r="GK7" t="e">
        <f>AND(Output!#REF!,"AAAAAD1+LsA=")</f>
        <v>#REF!</v>
      </c>
      <c r="GL7" t="e">
        <f>AND(Output!#REF!,"AAAAAD1+LsE=")</f>
        <v>#REF!</v>
      </c>
      <c r="GM7" t="e">
        <f>AND(Output!#REF!,"AAAAAD1+LsI=")</f>
        <v>#REF!</v>
      </c>
      <c r="GN7" t="e">
        <f>AND(Output!#REF!,"AAAAAD1+LsM=")</f>
        <v>#REF!</v>
      </c>
      <c r="GO7" t="e">
        <f>IF(Output!#REF!,"AAAAAD1+LsQ=",0)</f>
        <v>#REF!</v>
      </c>
      <c r="GP7" t="e">
        <f>AND(Output!#REF!,"AAAAAD1+LsU=")</f>
        <v>#REF!</v>
      </c>
      <c r="GQ7" t="e">
        <f>AND(Output!#REF!,"AAAAAD1+LsY=")</f>
        <v>#REF!</v>
      </c>
      <c r="GR7" t="e">
        <f>AND(Output!#REF!,"AAAAAD1+Lsc=")</f>
        <v>#REF!</v>
      </c>
      <c r="GS7" t="e">
        <f>AND(Output!#REF!,"AAAAAD1+Lsg=")</f>
        <v>#REF!</v>
      </c>
      <c r="GT7" t="e">
        <f>AND(Output!#REF!,"AAAAAD1+Lsk=")</f>
        <v>#REF!</v>
      </c>
      <c r="GU7" t="e">
        <f>AND(Output!#REF!,"AAAAAD1+Lso=")</f>
        <v>#REF!</v>
      </c>
      <c r="GV7" t="e">
        <f>AND(Output!#REF!,"AAAAAD1+Lss=")</f>
        <v>#REF!</v>
      </c>
      <c r="GW7" t="e">
        <f>AND(Output!#REF!,"AAAAAD1+Lsw=")</f>
        <v>#REF!</v>
      </c>
      <c r="GX7" t="e">
        <f>AND(Output!#REF!,"AAAAAD1+Ls0=")</f>
        <v>#REF!</v>
      </c>
      <c r="GY7" t="e">
        <f>AND(Output!#REF!,"AAAAAD1+Ls4=")</f>
        <v>#REF!</v>
      </c>
      <c r="GZ7" t="e">
        <f>AND(Output!#REF!,"AAAAAD1+Ls8=")</f>
        <v>#REF!</v>
      </c>
      <c r="HA7" t="e">
        <f>AND(Output!#REF!,"AAAAAD1+LtA=")</f>
        <v>#REF!</v>
      </c>
      <c r="HB7" t="e">
        <f>IF(Output!#REF!,"AAAAAD1+LtE=",0)</f>
        <v>#REF!</v>
      </c>
      <c r="HC7" t="e">
        <f>AND(Output!#REF!,"AAAAAD1+LtI=")</f>
        <v>#REF!</v>
      </c>
      <c r="HD7" t="e">
        <f>AND(Output!#REF!,"AAAAAD1+LtM=")</f>
        <v>#REF!</v>
      </c>
      <c r="HE7" t="e">
        <f>AND(Output!#REF!,"AAAAAD1+LtQ=")</f>
        <v>#REF!</v>
      </c>
      <c r="HF7" t="e">
        <f>AND(Output!#REF!,"AAAAAD1+LtU=")</f>
        <v>#REF!</v>
      </c>
      <c r="HG7" t="e">
        <f>AND(Output!#REF!,"AAAAAD1+LtY=")</f>
        <v>#REF!</v>
      </c>
      <c r="HH7" t="e">
        <f>AND(Output!#REF!,"AAAAAD1+Ltc=")</f>
        <v>#REF!</v>
      </c>
      <c r="HI7" t="e">
        <f>AND(Output!#REF!,"AAAAAD1+Ltg=")</f>
        <v>#REF!</v>
      </c>
      <c r="HJ7" t="e">
        <f>AND(Output!#REF!,"AAAAAD1+Ltk=")</f>
        <v>#REF!</v>
      </c>
      <c r="HK7" t="e">
        <f>AND(Output!#REF!,"AAAAAD1+Lto=")</f>
        <v>#REF!</v>
      </c>
      <c r="HL7" t="e">
        <f>AND(Output!#REF!,"AAAAAD1+Lts=")</f>
        <v>#REF!</v>
      </c>
      <c r="HM7" t="e">
        <f>AND(Output!#REF!,"AAAAAD1+Ltw=")</f>
        <v>#REF!</v>
      </c>
      <c r="HN7" t="e">
        <f>AND(Output!#REF!,"AAAAAD1+Lt0=")</f>
        <v>#REF!</v>
      </c>
      <c r="HO7" t="e">
        <f>IF(Output!#REF!,"AAAAAD1+Lt4=",0)</f>
        <v>#REF!</v>
      </c>
      <c r="HP7" t="e">
        <f>AND(Output!#REF!,"AAAAAD1+Lt8=")</f>
        <v>#REF!</v>
      </c>
      <c r="HQ7" t="e">
        <f>AND(Output!#REF!,"AAAAAD1+LuA=")</f>
        <v>#REF!</v>
      </c>
      <c r="HR7" t="e">
        <f>AND(Output!#REF!,"AAAAAD1+LuE=")</f>
        <v>#REF!</v>
      </c>
      <c r="HS7" t="e">
        <f>AND(Output!#REF!,"AAAAAD1+LuI=")</f>
        <v>#REF!</v>
      </c>
      <c r="HT7" t="e">
        <f>AND(Output!#REF!,"AAAAAD1+LuM=")</f>
        <v>#REF!</v>
      </c>
      <c r="HU7" t="e">
        <f>AND(Output!#REF!,"AAAAAD1+LuQ=")</f>
        <v>#REF!</v>
      </c>
      <c r="HV7" t="e">
        <f>AND(Output!#REF!,"AAAAAD1+LuU=")</f>
        <v>#REF!</v>
      </c>
      <c r="HW7" t="e">
        <f>AND(Output!#REF!,"AAAAAD1+LuY=")</f>
        <v>#REF!</v>
      </c>
      <c r="HX7" t="e">
        <f>AND(Output!#REF!,"AAAAAD1+Luc=")</f>
        <v>#REF!</v>
      </c>
      <c r="HY7" t="e">
        <f>AND(Output!#REF!,"AAAAAD1+Lug=")</f>
        <v>#REF!</v>
      </c>
      <c r="HZ7" t="e">
        <f>AND(Output!#REF!,"AAAAAD1+Luk=")</f>
        <v>#REF!</v>
      </c>
      <c r="IA7" t="e">
        <f>AND(Output!#REF!,"AAAAAD1+Luo=")</f>
        <v>#REF!</v>
      </c>
      <c r="IB7" t="e">
        <f>IF(Output!#REF!,"AAAAAD1+Lus=",0)</f>
        <v>#REF!</v>
      </c>
      <c r="IC7" t="e">
        <f>AND(Output!#REF!,"AAAAAD1+Luw=")</f>
        <v>#REF!</v>
      </c>
      <c r="ID7" t="e">
        <f>AND(Output!#REF!,"AAAAAD1+Lu0=")</f>
        <v>#REF!</v>
      </c>
      <c r="IE7" t="e">
        <f>AND(Output!#REF!,"AAAAAD1+Lu4=")</f>
        <v>#REF!</v>
      </c>
      <c r="IF7" t="e">
        <f>AND(Output!#REF!,"AAAAAD1+Lu8=")</f>
        <v>#REF!</v>
      </c>
      <c r="IG7" t="e">
        <f>AND(Output!#REF!,"AAAAAD1+LvA=")</f>
        <v>#REF!</v>
      </c>
      <c r="IH7" t="e">
        <f>AND(Output!#REF!,"AAAAAD1+LvE=")</f>
        <v>#REF!</v>
      </c>
      <c r="II7" t="e">
        <f>AND(Output!#REF!,"AAAAAD1+LvI=")</f>
        <v>#REF!</v>
      </c>
      <c r="IJ7" t="e">
        <f>AND(Output!#REF!,"AAAAAD1+LvM=")</f>
        <v>#REF!</v>
      </c>
      <c r="IK7" t="e">
        <f>AND(Output!#REF!,"AAAAAD1+LvQ=")</f>
        <v>#REF!</v>
      </c>
      <c r="IL7" t="e">
        <f>AND(Output!#REF!,"AAAAAD1+LvU=")</f>
        <v>#REF!</v>
      </c>
      <c r="IM7" t="e">
        <f>AND(Output!#REF!,"AAAAAD1+LvY=")</f>
        <v>#REF!</v>
      </c>
      <c r="IN7" t="e">
        <f>AND(Output!#REF!,"AAAAAD1+Lvc=")</f>
        <v>#REF!</v>
      </c>
      <c r="IO7" t="e">
        <f>IF(Output!#REF!,"AAAAAD1+Lvg=",0)</f>
        <v>#REF!</v>
      </c>
      <c r="IP7" t="e">
        <f>AND(Output!#REF!,"AAAAAD1+Lvk=")</f>
        <v>#REF!</v>
      </c>
      <c r="IQ7" t="e">
        <f>AND(Output!#REF!,"AAAAAD1+Lvo=")</f>
        <v>#REF!</v>
      </c>
      <c r="IR7" t="e">
        <f>AND(Output!#REF!,"AAAAAD1+Lvs=")</f>
        <v>#REF!</v>
      </c>
      <c r="IS7" t="e">
        <f>AND(Output!#REF!,"AAAAAD1+Lvw=")</f>
        <v>#REF!</v>
      </c>
      <c r="IT7" t="e">
        <f>AND(Output!#REF!,"AAAAAD1+Lv0=")</f>
        <v>#REF!</v>
      </c>
      <c r="IU7" t="e">
        <f>AND(Output!#REF!,"AAAAAD1+Lv4=")</f>
        <v>#REF!</v>
      </c>
      <c r="IV7" t="e">
        <f>AND(Output!#REF!,"AAAAAD1+Lv8=")</f>
        <v>#REF!</v>
      </c>
    </row>
    <row r="8" spans="1:256">
      <c r="A8" t="e">
        <f>AND(Output!#REF!,"AAAAABzJ1wA=")</f>
        <v>#REF!</v>
      </c>
      <c r="B8" t="e">
        <f>AND(Output!#REF!,"AAAAABzJ1wE=")</f>
        <v>#REF!</v>
      </c>
      <c r="C8" t="e">
        <f>AND(Output!#REF!,"AAAAABzJ1wI=")</f>
        <v>#REF!</v>
      </c>
      <c r="D8" t="e">
        <f>AND(Output!#REF!,"AAAAABzJ1wM=")</f>
        <v>#REF!</v>
      </c>
      <c r="E8" t="e">
        <f>AND(Output!#REF!,"AAAAABzJ1wQ=")</f>
        <v>#REF!</v>
      </c>
      <c r="F8" t="e">
        <f>IF(Output!#REF!,"AAAAABzJ1wU=",0)</f>
        <v>#REF!</v>
      </c>
      <c r="G8" t="e">
        <f>AND(Output!#REF!,"AAAAABzJ1wY=")</f>
        <v>#REF!</v>
      </c>
      <c r="H8" t="e">
        <f>AND(Output!#REF!,"AAAAABzJ1wc=")</f>
        <v>#REF!</v>
      </c>
      <c r="I8" t="e">
        <f>AND(Output!#REF!,"AAAAABzJ1wg=")</f>
        <v>#REF!</v>
      </c>
      <c r="J8" t="e">
        <f>AND(Output!#REF!,"AAAAABzJ1wk=")</f>
        <v>#REF!</v>
      </c>
      <c r="K8" t="e">
        <f>AND(Output!#REF!,"AAAAABzJ1wo=")</f>
        <v>#REF!</v>
      </c>
      <c r="L8" t="e">
        <f>AND(Output!#REF!,"AAAAABzJ1ws=")</f>
        <v>#REF!</v>
      </c>
      <c r="M8" t="e">
        <f>AND(Output!#REF!,"AAAAABzJ1ww=")</f>
        <v>#REF!</v>
      </c>
      <c r="N8" t="e">
        <f>AND(Output!#REF!,"AAAAABzJ1w0=")</f>
        <v>#REF!</v>
      </c>
      <c r="O8" t="e">
        <f>AND(Output!#REF!,"AAAAABzJ1w4=")</f>
        <v>#REF!</v>
      </c>
      <c r="P8" t="e">
        <f>AND(Output!#REF!,"AAAAABzJ1w8=")</f>
        <v>#REF!</v>
      </c>
      <c r="Q8" t="e">
        <f>AND(Output!#REF!,"AAAAABzJ1xA=")</f>
        <v>#REF!</v>
      </c>
      <c r="R8" t="e">
        <f>AND(Output!#REF!,"AAAAABzJ1xE=")</f>
        <v>#REF!</v>
      </c>
      <c r="S8" t="e">
        <f>IF(Output!#REF!,"AAAAABzJ1xI=",0)</f>
        <v>#REF!</v>
      </c>
      <c r="T8" t="e">
        <f>AND(Output!#REF!,"AAAAABzJ1xM=")</f>
        <v>#REF!</v>
      </c>
      <c r="U8" t="e">
        <f>AND(Output!#REF!,"AAAAABzJ1xQ=")</f>
        <v>#REF!</v>
      </c>
      <c r="V8" t="e">
        <f>AND(Output!#REF!,"AAAAABzJ1xU=")</f>
        <v>#REF!</v>
      </c>
      <c r="W8" t="e">
        <f>AND(Output!#REF!,"AAAAABzJ1xY=")</f>
        <v>#REF!</v>
      </c>
      <c r="X8" t="e">
        <f>AND(Output!#REF!,"AAAAABzJ1xc=")</f>
        <v>#REF!</v>
      </c>
      <c r="Y8" t="e">
        <f>AND(Output!#REF!,"AAAAABzJ1xg=")</f>
        <v>#REF!</v>
      </c>
      <c r="Z8" t="e">
        <f>AND(Output!#REF!,"AAAAABzJ1xk=")</f>
        <v>#REF!</v>
      </c>
      <c r="AA8" t="e">
        <f>AND(Output!#REF!,"AAAAABzJ1xo=")</f>
        <v>#REF!</v>
      </c>
      <c r="AB8" t="e">
        <f>AND(Output!#REF!,"AAAAABzJ1xs=")</f>
        <v>#REF!</v>
      </c>
      <c r="AC8" t="e">
        <f>AND(Output!#REF!,"AAAAABzJ1xw=")</f>
        <v>#REF!</v>
      </c>
      <c r="AD8" t="e">
        <f>AND(Output!#REF!,"AAAAABzJ1x0=")</f>
        <v>#REF!</v>
      </c>
      <c r="AE8" t="e">
        <f>AND(Output!#REF!,"AAAAABzJ1x4=")</f>
        <v>#REF!</v>
      </c>
      <c r="AF8" t="e">
        <f>IF(Output!#REF!,"AAAAABzJ1x8=",0)</f>
        <v>#REF!</v>
      </c>
      <c r="AG8" t="e">
        <f>AND(Output!#REF!,"AAAAABzJ1yA=")</f>
        <v>#REF!</v>
      </c>
      <c r="AH8" t="e">
        <f>AND(Output!#REF!,"AAAAABzJ1yE=")</f>
        <v>#REF!</v>
      </c>
      <c r="AI8" t="e">
        <f>AND(Output!#REF!,"AAAAABzJ1yI=")</f>
        <v>#REF!</v>
      </c>
      <c r="AJ8" t="e">
        <f>AND(Output!#REF!,"AAAAABzJ1yM=")</f>
        <v>#REF!</v>
      </c>
      <c r="AK8" t="e">
        <f>AND(Output!#REF!,"AAAAABzJ1yQ=")</f>
        <v>#REF!</v>
      </c>
      <c r="AL8" t="e">
        <f>AND(Output!#REF!,"AAAAABzJ1yU=")</f>
        <v>#REF!</v>
      </c>
      <c r="AM8" t="e">
        <f>AND(Output!#REF!,"AAAAABzJ1yY=")</f>
        <v>#REF!</v>
      </c>
      <c r="AN8" t="e">
        <f>AND(Output!#REF!,"AAAAABzJ1yc=")</f>
        <v>#REF!</v>
      </c>
      <c r="AO8" t="e">
        <f>AND(Output!#REF!,"AAAAABzJ1yg=")</f>
        <v>#REF!</v>
      </c>
      <c r="AP8" t="e">
        <f>AND(Output!#REF!,"AAAAABzJ1yk=")</f>
        <v>#REF!</v>
      </c>
      <c r="AQ8" t="e">
        <f>AND(Output!#REF!,"AAAAABzJ1yo=")</f>
        <v>#REF!</v>
      </c>
      <c r="AR8" t="e">
        <f>AND(Output!#REF!,"AAAAABzJ1ys=")</f>
        <v>#REF!</v>
      </c>
      <c r="AS8" t="e">
        <f>IF(Output!#REF!,"AAAAABzJ1yw=",0)</f>
        <v>#REF!</v>
      </c>
      <c r="AT8" t="e">
        <f>AND(Output!#REF!,"AAAAABzJ1y0=")</f>
        <v>#REF!</v>
      </c>
      <c r="AU8" t="e">
        <f>AND(Output!#REF!,"AAAAABzJ1y4=")</f>
        <v>#REF!</v>
      </c>
      <c r="AV8" t="e">
        <f>AND(Output!#REF!,"AAAAABzJ1y8=")</f>
        <v>#REF!</v>
      </c>
      <c r="AW8" t="e">
        <f>AND(Output!#REF!,"AAAAABzJ1zA=")</f>
        <v>#REF!</v>
      </c>
      <c r="AX8" t="e">
        <f>AND(Output!#REF!,"AAAAABzJ1zE=")</f>
        <v>#REF!</v>
      </c>
      <c r="AY8" t="e">
        <f>AND(Output!#REF!,"AAAAABzJ1zI=")</f>
        <v>#REF!</v>
      </c>
      <c r="AZ8" t="e">
        <f>AND(Output!#REF!,"AAAAABzJ1zM=")</f>
        <v>#REF!</v>
      </c>
      <c r="BA8" t="e">
        <f>AND(Output!#REF!,"AAAAABzJ1zQ=")</f>
        <v>#REF!</v>
      </c>
      <c r="BB8" t="e">
        <f>AND(Output!#REF!,"AAAAABzJ1zU=")</f>
        <v>#REF!</v>
      </c>
      <c r="BC8" t="e">
        <f>AND(Output!#REF!,"AAAAABzJ1zY=")</f>
        <v>#REF!</v>
      </c>
      <c r="BD8" t="e">
        <f>AND(Output!#REF!,"AAAAABzJ1zc=")</f>
        <v>#REF!</v>
      </c>
      <c r="BE8" t="e">
        <f>AND(Output!#REF!,"AAAAABzJ1zg=")</f>
        <v>#REF!</v>
      </c>
      <c r="BF8" t="e">
        <f>IF(Output!#REF!,"AAAAABzJ1zk=",0)</f>
        <v>#REF!</v>
      </c>
      <c r="BG8" t="e">
        <f>AND(Output!#REF!,"AAAAABzJ1zo=")</f>
        <v>#REF!</v>
      </c>
      <c r="BH8" t="e">
        <f>AND(Output!#REF!,"AAAAABzJ1zs=")</f>
        <v>#REF!</v>
      </c>
      <c r="BI8" t="e">
        <f>AND(Output!#REF!,"AAAAABzJ1zw=")</f>
        <v>#REF!</v>
      </c>
      <c r="BJ8" t="e">
        <f>AND(Output!#REF!,"AAAAABzJ1z0=")</f>
        <v>#REF!</v>
      </c>
      <c r="BK8" t="e">
        <f>AND(Output!#REF!,"AAAAABzJ1z4=")</f>
        <v>#REF!</v>
      </c>
      <c r="BL8" t="e">
        <f>AND(Output!#REF!,"AAAAABzJ1z8=")</f>
        <v>#REF!</v>
      </c>
      <c r="BM8" t="e">
        <f>AND(Output!#REF!,"AAAAABzJ10A=")</f>
        <v>#REF!</v>
      </c>
      <c r="BN8" t="e">
        <f>AND(Output!#REF!,"AAAAABzJ10E=")</f>
        <v>#REF!</v>
      </c>
      <c r="BO8" t="e">
        <f>AND(Output!#REF!,"AAAAABzJ10I=")</f>
        <v>#REF!</v>
      </c>
      <c r="BP8" t="e">
        <f>AND(Output!#REF!,"AAAAABzJ10M=")</f>
        <v>#REF!</v>
      </c>
      <c r="BQ8" t="e">
        <f>AND(Output!#REF!,"AAAAABzJ10Q=")</f>
        <v>#REF!</v>
      </c>
      <c r="BR8" t="e">
        <f>AND(Output!#REF!,"AAAAABzJ10U=")</f>
        <v>#REF!</v>
      </c>
      <c r="BS8" t="e">
        <f>IF(Output!#REF!,"AAAAABzJ10Y=",0)</f>
        <v>#REF!</v>
      </c>
      <c r="BT8" t="e">
        <f>AND(Output!#REF!,"AAAAABzJ10c=")</f>
        <v>#REF!</v>
      </c>
      <c r="BU8" t="e">
        <f>AND(Output!#REF!,"AAAAABzJ10g=")</f>
        <v>#REF!</v>
      </c>
      <c r="BV8" t="e">
        <f>AND(Output!#REF!,"AAAAABzJ10k=")</f>
        <v>#REF!</v>
      </c>
      <c r="BW8" t="e">
        <f>AND(Output!#REF!,"AAAAABzJ10o=")</f>
        <v>#REF!</v>
      </c>
      <c r="BX8" t="e">
        <f>AND(Output!#REF!,"AAAAABzJ10s=")</f>
        <v>#REF!</v>
      </c>
      <c r="BY8" t="e">
        <f>AND(Output!#REF!,"AAAAABzJ10w=")</f>
        <v>#REF!</v>
      </c>
      <c r="BZ8" t="e">
        <f>AND(Output!#REF!,"AAAAABzJ100=")</f>
        <v>#REF!</v>
      </c>
      <c r="CA8" t="e">
        <f>AND(Output!#REF!,"AAAAABzJ104=")</f>
        <v>#REF!</v>
      </c>
      <c r="CB8" t="e">
        <f>AND(Output!#REF!,"AAAAABzJ108=")</f>
        <v>#REF!</v>
      </c>
      <c r="CC8" t="e">
        <f>AND(Output!#REF!,"AAAAABzJ11A=")</f>
        <v>#REF!</v>
      </c>
      <c r="CD8" t="e">
        <f>AND(Output!#REF!,"AAAAABzJ11E=")</f>
        <v>#REF!</v>
      </c>
      <c r="CE8" t="e">
        <f>AND(Output!#REF!,"AAAAABzJ11I=")</f>
        <v>#REF!</v>
      </c>
      <c r="CF8" t="e">
        <f>IF(Output!#REF!,"AAAAABzJ11M=",0)</f>
        <v>#REF!</v>
      </c>
      <c r="CG8" t="e">
        <f>AND(Output!#REF!,"AAAAABzJ11Q=")</f>
        <v>#REF!</v>
      </c>
      <c r="CH8" t="e">
        <f>AND(Output!#REF!,"AAAAABzJ11U=")</f>
        <v>#REF!</v>
      </c>
      <c r="CI8" t="e">
        <f>AND(Output!#REF!,"AAAAABzJ11Y=")</f>
        <v>#REF!</v>
      </c>
      <c r="CJ8" t="e">
        <f>AND(Output!#REF!,"AAAAABzJ11c=")</f>
        <v>#REF!</v>
      </c>
      <c r="CK8" t="e">
        <f>AND(Output!#REF!,"AAAAABzJ11g=")</f>
        <v>#REF!</v>
      </c>
      <c r="CL8" t="e">
        <f>AND(Output!#REF!,"AAAAABzJ11k=")</f>
        <v>#REF!</v>
      </c>
      <c r="CM8" t="e">
        <f>AND(Output!#REF!,"AAAAABzJ11o=")</f>
        <v>#REF!</v>
      </c>
      <c r="CN8" t="e">
        <f>AND(Output!#REF!,"AAAAABzJ11s=")</f>
        <v>#REF!</v>
      </c>
      <c r="CO8" t="e">
        <f>AND(Output!#REF!,"AAAAABzJ11w=")</f>
        <v>#REF!</v>
      </c>
      <c r="CP8" t="e">
        <f>AND(Output!#REF!,"AAAAABzJ110=")</f>
        <v>#REF!</v>
      </c>
      <c r="CQ8" t="e">
        <f>AND(Output!#REF!,"AAAAABzJ114=")</f>
        <v>#REF!</v>
      </c>
      <c r="CR8" t="e">
        <f>AND(Output!#REF!,"AAAAABzJ118=")</f>
        <v>#REF!</v>
      </c>
      <c r="CS8" t="e">
        <f>IF(Output!#REF!,"AAAAABzJ12A=",0)</f>
        <v>#REF!</v>
      </c>
      <c r="CT8" t="e">
        <f>AND(Output!#REF!,"AAAAABzJ12E=")</f>
        <v>#REF!</v>
      </c>
      <c r="CU8" t="e">
        <f>AND(Output!#REF!,"AAAAABzJ12I=")</f>
        <v>#REF!</v>
      </c>
      <c r="CV8" t="e">
        <f>AND(Output!#REF!,"AAAAABzJ12M=")</f>
        <v>#REF!</v>
      </c>
      <c r="CW8" t="e">
        <f>AND(Output!#REF!,"AAAAABzJ12Q=")</f>
        <v>#REF!</v>
      </c>
      <c r="CX8" t="e">
        <f>AND(Output!#REF!,"AAAAABzJ12U=")</f>
        <v>#REF!</v>
      </c>
      <c r="CY8" t="e">
        <f>AND(Output!#REF!,"AAAAABzJ12Y=")</f>
        <v>#REF!</v>
      </c>
      <c r="CZ8" t="e">
        <f>AND(Output!#REF!,"AAAAABzJ12c=")</f>
        <v>#REF!</v>
      </c>
      <c r="DA8" t="e">
        <f>AND(Output!#REF!,"AAAAABzJ12g=")</f>
        <v>#REF!</v>
      </c>
      <c r="DB8" t="e">
        <f>AND(Output!#REF!,"AAAAABzJ12k=")</f>
        <v>#REF!</v>
      </c>
      <c r="DC8" t="e">
        <f>AND(Output!#REF!,"AAAAABzJ12o=")</f>
        <v>#REF!</v>
      </c>
      <c r="DD8" t="e">
        <f>AND(Output!#REF!,"AAAAABzJ12s=")</f>
        <v>#REF!</v>
      </c>
      <c r="DE8" t="e">
        <f>AND(Output!#REF!,"AAAAABzJ12w=")</f>
        <v>#REF!</v>
      </c>
      <c r="DF8" t="e">
        <f>IF(Output!#REF!,"AAAAABzJ120=",0)</f>
        <v>#REF!</v>
      </c>
      <c r="DG8" t="e">
        <f>AND(Output!#REF!,"AAAAABzJ124=")</f>
        <v>#REF!</v>
      </c>
      <c r="DH8" t="e">
        <f>AND(Output!#REF!,"AAAAABzJ128=")</f>
        <v>#REF!</v>
      </c>
      <c r="DI8" t="e">
        <f>AND(Output!#REF!,"AAAAABzJ13A=")</f>
        <v>#REF!</v>
      </c>
      <c r="DJ8" t="e">
        <f>AND(Output!#REF!,"AAAAABzJ13E=")</f>
        <v>#REF!</v>
      </c>
      <c r="DK8" t="e">
        <f>AND(Output!#REF!,"AAAAABzJ13I=")</f>
        <v>#REF!</v>
      </c>
      <c r="DL8" t="e">
        <f>AND(Output!#REF!,"AAAAABzJ13M=")</f>
        <v>#REF!</v>
      </c>
      <c r="DM8" t="e">
        <f>AND(Output!#REF!,"AAAAABzJ13Q=")</f>
        <v>#REF!</v>
      </c>
      <c r="DN8" t="e">
        <f>AND(Output!#REF!,"AAAAABzJ13U=")</f>
        <v>#REF!</v>
      </c>
      <c r="DO8" t="e">
        <f>AND(Output!#REF!,"AAAAABzJ13Y=")</f>
        <v>#REF!</v>
      </c>
      <c r="DP8" t="e">
        <f>AND(Output!#REF!,"AAAAABzJ13c=")</f>
        <v>#REF!</v>
      </c>
      <c r="DQ8" t="e">
        <f>AND(Output!#REF!,"AAAAABzJ13g=")</f>
        <v>#REF!</v>
      </c>
      <c r="DR8" t="e">
        <f>AND(Output!#REF!,"AAAAABzJ13k=")</f>
        <v>#REF!</v>
      </c>
      <c r="DS8" t="e">
        <f>IF(Output!#REF!,"AAAAABzJ13o=",0)</f>
        <v>#REF!</v>
      </c>
      <c r="DT8" t="e">
        <f>AND(Output!#REF!,"AAAAABzJ13s=")</f>
        <v>#REF!</v>
      </c>
      <c r="DU8" t="e">
        <f>AND(Output!#REF!,"AAAAABzJ13w=")</f>
        <v>#REF!</v>
      </c>
      <c r="DV8" t="e">
        <f>AND(Output!#REF!,"AAAAABzJ130=")</f>
        <v>#REF!</v>
      </c>
      <c r="DW8" t="e">
        <f>AND(Output!#REF!,"AAAAABzJ134=")</f>
        <v>#REF!</v>
      </c>
      <c r="DX8" t="e">
        <f>AND(Output!#REF!,"AAAAABzJ138=")</f>
        <v>#REF!</v>
      </c>
      <c r="DY8" t="e">
        <f>AND(Output!#REF!,"AAAAABzJ14A=")</f>
        <v>#REF!</v>
      </c>
      <c r="DZ8" t="e">
        <f>AND(Output!#REF!,"AAAAABzJ14E=")</f>
        <v>#REF!</v>
      </c>
      <c r="EA8" t="e">
        <f>AND(Output!#REF!,"AAAAABzJ14I=")</f>
        <v>#REF!</v>
      </c>
      <c r="EB8" t="e">
        <f>AND(Output!#REF!,"AAAAABzJ14M=")</f>
        <v>#REF!</v>
      </c>
      <c r="EC8" t="e">
        <f>AND(Output!#REF!,"AAAAABzJ14Q=")</f>
        <v>#REF!</v>
      </c>
      <c r="ED8" t="e">
        <f>AND(Output!#REF!,"AAAAABzJ14U=")</f>
        <v>#REF!</v>
      </c>
      <c r="EE8" t="e">
        <f>AND(Output!#REF!,"AAAAABzJ14Y=")</f>
        <v>#REF!</v>
      </c>
      <c r="EF8" t="e">
        <f>IF(Output!#REF!,"AAAAABzJ14c=",0)</f>
        <v>#REF!</v>
      </c>
      <c r="EG8" t="e">
        <f>AND(Output!#REF!,"AAAAABzJ14g=")</f>
        <v>#REF!</v>
      </c>
      <c r="EH8" t="e">
        <f>AND(Output!#REF!,"AAAAABzJ14k=")</f>
        <v>#REF!</v>
      </c>
      <c r="EI8" t="e">
        <f>AND(Output!#REF!,"AAAAABzJ14o=")</f>
        <v>#REF!</v>
      </c>
      <c r="EJ8" t="e">
        <f>AND(Output!#REF!,"AAAAABzJ14s=")</f>
        <v>#REF!</v>
      </c>
      <c r="EK8" t="e">
        <f>AND(Output!#REF!,"AAAAABzJ14w=")</f>
        <v>#REF!</v>
      </c>
      <c r="EL8" t="e">
        <f>AND(Output!#REF!,"AAAAABzJ140=")</f>
        <v>#REF!</v>
      </c>
      <c r="EM8" t="e">
        <f>AND(Output!#REF!,"AAAAABzJ144=")</f>
        <v>#REF!</v>
      </c>
      <c r="EN8" t="e">
        <f>AND(Output!#REF!,"AAAAABzJ148=")</f>
        <v>#REF!</v>
      </c>
      <c r="EO8" t="e">
        <f>AND(Output!#REF!,"AAAAABzJ15A=")</f>
        <v>#REF!</v>
      </c>
      <c r="EP8" t="e">
        <f>AND(Output!#REF!,"AAAAABzJ15E=")</f>
        <v>#REF!</v>
      </c>
      <c r="EQ8" t="e">
        <f>AND(Output!#REF!,"AAAAABzJ15I=")</f>
        <v>#REF!</v>
      </c>
      <c r="ER8" t="e">
        <f>AND(Output!#REF!,"AAAAABzJ15M=")</f>
        <v>#REF!</v>
      </c>
      <c r="ES8" t="e">
        <f>IF(Output!#REF!,"AAAAABzJ15Q=",0)</f>
        <v>#REF!</v>
      </c>
      <c r="ET8" t="e">
        <f>AND(Output!#REF!,"AAAAABzJ15U=")</f>
        <v>#REF!</v>
      </c>
      <c r="EU8" t="e">
        <f>AND(Output!#REF!,"AAAAABzJ15Y=")</f>
        <v>#REF!</v>
      </c>
      <c r="EV8" t="e">
        <f>AND(Output!#REF!,"AAAAABzJ15c=")</f>
        <v>#REF!</v>
      </c>
      <c r="EW8" t="e">
        <f>AND(Output!#REF!,"AAAAABzJ15g=")</f>
        <v>#REF!</v>
      </c>
      <c r="EX8" t="e">
        <f>AND(Output!#REF!,"AAAAABzJ15k=")</f>
        <v>#REF!</v>
      </c>
      <c r="EY8" t="e">
        <f>AND(Output!#REF!,"AAAAABzJ15o=")</f>
        <v>#REF!</v>
      </c>
      <c r="EZ8" t="e">
        <f>AND(Output!#REF!,"AAAAABzJ15s=")</f>
        <v>#REF!</v>
      </c>
      <c r="FA8" t="e">
        <f>AND(Output!#REF!,"AAAAABzJ15w=")</f>
        <v>#REF!</v>
      </c>
      <c r="FB8" t="e">
        <f>AND(Output!#REF!,"AAAAABzJ150=")</f>
        <v>#REF!</v>
      </c>
      <c r="FC8" t="e">
        <f>AND(Output!#REF!,"AAAAABzJ154=")</f>
        <v>#REF!</v>
      </c>
      <c r="FD8" t="e">
        <f>AND(Output!#REF!,"AAAAABzJ158=")</f>
        <v>#REF!</v>
      </c>
      <c r="FE8" t="e">
        <f>AND(Output!#REF!,"AAAAABzJ16A=")</f>
        <v>#REF!</v>
      </c>
      <c r="FF8" t="e">
        <f>IF(Output!#REF!,"AAAAABzJ16E=",0)</f>
        <v>#REF!</v>
      </c>
      <c r="FG8" t="e">
        <f>AND(Output!#REF!,"AAAAABzJ16I=")</f>
        <v>#REF!</v>
      </c>
      <c r="FH8" t="e">
        <f>AND(Output!#REF!,"AAAAABzJ16M=")</f>
        <v>#REF!</v>
      </c>
      <c r="FI8" t="e">
        <f>AND(Output!#REF!,"AAAAABzJ16Q=")</f>
        <v>#REF!</v>
      </c>
      <c r="FJ8" t="e">
        <f>AND(Output!#REF!,"AAAAABzJ16U=")</f>
        <v>#REF!</v>
      </c>
      <c r="FK8" t="e">
        <f>AND(Output!#REF!,"AAAAABzJ16Y=")</f>
        <v>#REF!</v>
      </c>
      <c r="FL8" t="e">
        <f>AND(Output!#REF!,"AAAAABzJ16c=")</f>
        <v>#REF!</v>
      </c>
      <c r="FM8" t="e">
        <f>AND(Output!#REF!,"AAAAABzJ16g=")</f>
        <v>#REF!</v>
      </c>
      <c r="FN8" t="e">
        <f>AND(Output!#REF!,"AAAAABzJ16k=")</f>
        <v>#REF!</v>
      </c>
      <c r="FO8" t="e">
        <f>AND(Output!#REF!,"AAAAABzJ16o=")</f>
        <v>#REF!</v>
      </c>
      <c r="FP8" t="e">
        <f>AND(Output!#REF!,"AAAAABzJ16s=")</f>
        <v>#REF!</v>
      </c>
      <c r="FQ8" t="e">
        <f>AND(Output!#REF!,"AAAAABzJ16w=")</f>
        <v>#REF!</v>
      </c>
      <c r="FR8" t="e">
        <f>AND(Output!#REF!,"AAAAABzJ160=")</f>
        <v>#REF!</v>
      </c>
      <c r="FS8" t="e">
        <f>IF(Output!#REF!,"AAAAABzJ164=",0)</f>
        <v>#REF!</v>
      </c>
      <c r="FT8" t="e">
        <f>AND(Output!#REF!,"AAAAABzJ168=")</f>
        <v>#REF!</v>
      </c>
      <c r="FU8" t="e">
        <f>AND(Output!#REF!,"AAAAABzJ17A=")</f>
        <v>#REF!</v>
      </c>
      <c r="FV8" t="e">
        <f>AND(Output!#REF!,"AAAAABzJ17E=")</f>
        <v>#REF!</v>
      </c>
      <c r="FW8" t="e">
        <f>AND(Output!#REF!,"AAAAABzJ17I=")</f>
        <v>#REF!</v>
      </c>
      <c r="FX8" t="e">
        <f>AND(Output!#REF!,"AAAAABzJ17M=")</f>
        <v>#REF!</v>
      </c>
      <c r="FY8" t="e">
        <f>AND(Output!#REF!,"AAAAABzJ17Q=")</f>
        <v>#REF!</v>
      </c>
      <c r="FZ8" t="e">
        <f>AND(Output!#REF!,"AAAAABzJ17U=")</f>
        <v>#REF!</v>
      </c>
      <c r="GA8" t="e">
        <f>AND(Output!#REF!,"AAAAABzJ17Y=")</f>
        <v>#REF!</v>
      </c>
      <c r="GB8" t="e">
        <f>AND(Output!#REF!,"AAAAABzJ17c=")</f>
        <v>#REF!</v>
      </c>
      <c r="GC8" t="e">
        <f>AND(Output!#REF!,"AAAAABzJ17g=")</f>
        <v>#REF!</v>
      </c>
      <c r="GD8" t="e">
        <f>AND(Output!#REF!,"AAAAABzJ17k=")</f>
        <v>#REF!</v>
      </c>
      <c r="GE8" t="e">
        <f>AND(Output!#REF!,"AAAAABzJ17o=")</f>
        <v>#REF!</v>
      </c>
      <c r="GF8" t="e">
        <f>IF(Output!#REF!,"AAAAABzJ17s=",0)</f>
        <v>#REF!</v>
      </c>
      <c r="GG8" t="e">
        <f>AND(Output!#REF!,"AAAAABzJ17w=")</f>
        <v>#REF!</v>
      </c>
      <c r="GH8" t="e">
        <f>AND(Output!#REF!,"AAAAABzJ170=")</f>
        <v>#REF!</v>
      </c>
      <c r="GI8" t="e">
        <f>AND(Output!#REF!,"AAAAABzJ174=")</f>
        <v>#REF!</v>
      </c>
      <c r="GJ8" t="e">
        <f>AND(Output!#REF!,"AAAAABzJ178=")</f>
        <v>#REF!</v>
      </c>
      <c r="GK8" t="e">
        <f>AND(Output!#REF!,"AAAAABzJ18A=")</f>
        <v>#REF!</v>
      </c>
      <c r="GL8" t="e">
        <f>AND(Output!#REF!,"AAAAABzJ18E=")</f>
        <v>#REF!</v>
      </c>
      <c r="GM8" t="e">
        <f>AND(Output!#REF!,"AAAAABzJ18I=")</f>
        <v>#REF!</v>
      </c>
      <c r="GN8" t="e">
        <f>AND(Output!#REF!,"AAAAABzJ18M=")</f>
        <v>#REF!</v>
      </c>
      <c r="GO8" t="e">
        <f>AND(Output!#REF!,"AAAAABzJ18Q=")</f>
        <v>#REF!</v>
      </c>
      <c r="GP8" t="e">
        <f>AND(Output!#REF!,"AAAAABzJ18U=")</f>
        <v>#REF!</v>
      </c>
      <c r="GQ8" t="e">
        <f>AND(Output!#REF!,"AAAAABzJ18Y=")</f>
        <v>#REF!</v>
      </c>
      <c r="GR8" t="e">
        <f>AND(Output!#REF!,"AAAAABzJ18c=")</f>
        <v>#REF!</v>
      </c>
      <c r="GS8" t="e">
        <f>IF(Output!#REF!,"AAAAABzJ18g=",0)</f>
        <v>#REF!</v>
      </c>
      <c r="GT8" t="e">
        <f>AND(Output!#REF!,"AAAAABzJ18k=")</f>
        <v>#REF!</v>
      </c>
      <c r="GU8" t="e">
        <f>AND(Output!#REF!,"AAAAABzJ18o=")</f>
        <v>#REF!</v>
      </c>
      <c r="GV8" t="e">
        <f>AND(Output!#REF!,"AAAAABzJ18s=")</f>
        <v>#REF!</v>
      </c>
      <c r="GW8" t="e">
        <f>AND(Output!#REF!,"AAAAABzJ18w=")</f>
        <v>#REF!</v>
      </c>
      <c r="GX8" t="e">
        <f>AND(Output!#REF!,"AAAAABzJ180=")</f>
        <v>#REF!</v>
      </c>
      <c r="GY8" t="e">
        <f>AND(Output!#REF!,"AAAAABzJ184=")</f>
        <v>#REF!</v>
      </c>
      <c r="GZ8" t="e">
        <f>AND(Output!#REF!,"AAAAABzJ188=")</f>
        <v>#REF!</v>
      </c>
      <c r="HA8" t="e">
        <f>AND(Output!#REF!,"AAAAABzJ19A=")</f>
        <v>#REF!</v>
      </c>
      <c r="HB8" t="e">
        <f>AND(Output!#REF!,"AAAAABzJ19E=")</f>
        <v>#REF!</v>
      </c>
      <c r="HC8" t="e">
        <f>AND(Output!#REF!,"AAAAABzJ19I=")</f>
        <v>#REF!</v>
      </c>
      <c r="HD8" t="e">
        <f>AND(Output!#REF!,"AAAAABzJ19M=")</f>
        <v>#REF!</v>
      </c>
      <c r="HE8" t="e">
        <f>AND(Output!#REF!,"AAAAABzJ19Q=")</f>
        <v>#REF!</v>
      </c>
      <c r="HF8" t="e">
        <f>IF(Output!#REF!,"AAAAABzJ19U=",0)</f>
        <v>#REF!</v>
      </c>
      <c r="HG8" t="e">
        <f>AND(Output!#REF!,"AAAAABzJ19Y=")</f>
        <v>#REF!</v>
      </c>
      <c r="HH8" t="e">
        <f>AND(Output!#REF!,"AAAAABzJ19c=")</f>
        <v>#REF!</v>
      </c>
      <c r="HI8" t="e">
        <f>AND(Output!#REF!,"AAAAABzJ19g=")</f>
        <v>#REF!</v>
      </c>
      <c r="HJ8" t="e">
        <f>AND(Output!#REF!,"AAAAABzJ19k=")</f>
        <v>#REF!</v>
      </c>
      <c r="HK8" t="e">
        <f>AND(Output!#REF!,"AAAAABzJ19o=")</f>
        <v>#REF!</v>
      </c>
      <c r="HL8" t="e">
        <f>AND(Output!#REF!,"AAAAABzJ19s=")</f>
        <v>#REF!</v>
      </c>
      <c r="HM8" t="e">
        <f>AND(Output!#REF!,"AAAAABzJ19w=")</f>
        <v>#REF!</v>
      </c>
      <c r="HN8" t="e">
        <f>AND(Output!#REF!,"AAAAABzJ190=")</f>
        <v>#REF!</v>
      </c>
      <c r="HO8" t="e">
        <f>AND(Output!#REF!,"AAAAABzJ194=")</f>
        <v>#REF!</v>
      </c>
      <c r="HP8" t="e">
        <f>AND(Output!#REF!,"AAAAABzJ198=")</f>
        <v>#REF!</v>
      </c>
      <c r="HQ8" t="e">
        <f>AND(Output!#REF!,"AAAAABzJ1+A=")</f>
        <v>#REF!</v>
      </c>
      <c r="HR8" t="e">
        <f>AND(Output!#REF!,"AAAAABzJ1+E=")</f>
        <v>#REF!</v>
      </c>
      <c r="HS8" t="e">
        <f>IF(Output!#REF!,"AAAAABzJ1+I=",0)</f>
        <v>#REF!</v>
      </c>
      <c r="HT8" t="e">
        <f>AND(Output!#REF!,"AAAAABzJ1+M=")</f>
        <v>#REF!</v>
      </c>
      <c r="HU8" t="e">
        <f>AND(Output!#REF!,"AAAAABzJ1+Q=")</f>
        <v>#REF!</v>
      </c>
      <c r="HV8" t="e">
        <f>AND(Output!#REF!,"AAAAABzJ1+U=")</f>
        <v>#REF!</v>
      </c>
      <c r="HW8" t="e">
        <f>AND(Output!#REF!,"AAAAABzJ1+Y=")</f>
        <v>#REF!</v>
      </c>
      <c r="HX8" t="e">
        <f>AND(Output!#REF!,"AAAAABzJ1+c=")</f>
        <v>#REF!</v>
      </c>
      <c r="HY8" t="e">
        <f>AND(Output!#REF!,"AAAAABzJ1+g=")</f>
        <v>#REF!</v>
      </c>
      <c r="HZ8" t="e">
        <f>AND(Output!#REF!,"AAAAABzJ1+k=")</f>
        <v>#REF!</v>
      </c>
      <c r="IA8" t="e">
        <f>AND(Output!#REF!,"AAAAABzJ1+o=")</f>
        <v>#REF!</v>
      </c>
      <c r="IB8" t="e">
        <f>AND(Output!#REF!,"AAAAABzJ1+s=")</f>
        <v>#REF!</v>
      </c>
      <c r="IC8" t="e">
        <f>AND(Output!#REF!,"AAAAABzJ1+w=")</f>
        <v>#REF!</v>
      </c>
      <c r="ID8" t="e">
        <f>AND(Output!#REF!,"AAAAABzJ1+0=")</f>
        <v>#REF!</v>
      </c>
      <c r="IE8" t="e">
        <f>AND(Output!#REF!,"AAAAABzJ1+4=")</f>
        <v>#REF!</v>
      </c>
      <c r="IF8" t="e">
        <f>IF(Output!#REF!,"AAAAABzJ1+8=",0)</f>
        <v>#REF!</v>
      </c>
      <c r="IG8" t="e">
        <f>AND(Output!#REF!,"AAAAABzJ1/A=")</f>
        <v>#REF!</v>
      </c>
      <c r="IH8" t="e">
        <f>AND(Output!#REF!,"AAAAABzJ1/E=")</f>
        <v>#REF!</v>
      </c>
      <c r="II8" t="e">
        <f>AND(Output!#REF!,"AAAAABzJ1/I=")</f>
        <v>#REF!</v>
      </c>
      <c r="IJ8" t="e">
        <f>AND(Output!#REF!,"AAAAABzJ1/M=")</f>
        <v>#REF!</v>
      </c>
      <c r="IK8" t="e">
        <f>AND(Output!#REF!,"AAAAABzJ1/Q=")</f>
        <v>#REF!</v>
      </c>
      <c r="IL8" t="e">
        <f>AND(Output!#REF!,"AAAAABzJ1/U=")</f>
        <v>#REF!</v>
      </c>
      <c r="IM8" t="e">
        <f>AND(Output!#REF!,"AAAAABzJ1/Y=")</f>
        <v>#REF!</v>
      </c>
      <c r="IN8" t="e">
        <f>AND(Output!#REF!,"AAAAABzJ1/c=")</f>
        <v>#REF!</v>
      </c>
      <c r="IO8" t="e">
        <f>AND(Output!#REF!,"AAAAABzJ1/g=")</f>
        <v>#REF!</v>
      </c>
      <c r="IP8" t="e">
        <f>AND(Output!#REF!,"AAAAABzJ1/k=")</f>
        <v>#REF!</v>
      </c>
      <c r="IQ8" t="e">
        <f>AND(Output!#REF!,"AAAAABzJ1/o=")</f>
        <v>#REF!</v>
      </c>
      <c r="IR8" t="e">
        <f>AND(Output!#REF!,"AAAAABzJ1/s=")</f>
        <v>#REF!</v>
      </c>
      <c r="IS8" t="e">
        <f>IF(Output!#REF!,"AAAAABzJ1/w=",0)</f>
        <v>#REF!</v>
      </c>
      <c r="IT8" t="e">
        <f>IF(Output!A:A,"AAAAABzJ1/0=",0)</f>
        <v>#VALUE!</v>
      </c>
      <c r="IU8" t="str">
        <f>IF(Output!B:B,"AAAAABzJ1/4=",0)</f>
        <v>AAAAABzJ1/4=</v>
      </c>
      <c r="IV8" t="str">
        <f>IF(Output!C:C,"AAAAABzJ1/8=",0)</f>
        <v>AAAAABzJ1/8=</v>
      </c>
    </row>
    <row r="9" spans="1:256">
      <c r="A9" t="str">
        <f>IF(Output!D:D,"AAAAAH3//wA=",0)</f>
        <v>AAAAAH3//wA=</v>
      </c>
      <c r="B9" t="str">
        <f>IF(Output!E:E,"AAAAAH3//wE=",0)</f>
        <v>AAAAAH3//wE=</v>
      </c>
      <c r="C9" t="str">
        <f>IF(Output!F:F,"AAAAAH3//wI=",0)</f>
        <v>AAAAAH3//wI=</v>
      </c>
      <c r="D9" t="str">
        <f>IF(Output!G:G,"AAAAAH3//wM=",0)</f>
        <v>AAAAAH3//wM=</v>
      </c>
      <c r="E9" t="str">
        <f>IF(Output!H:H,"AAAAAH3//wQ=",0)</f>
        <v>AAAAAH3//wQ=</v>
      </c>
      <c r="F9">
        <f>IF(Output!I:I,"AAAAAH3//wU=",0)</f>
        <v>0</v>
      </c>
      <c r="G9">
        <f>IF(Output!J:J,"AAAAAH3//wY=",0)</f>
        <v>0</v>
      </c>
      <c r="H9">
        <f>IF(Output!K:K,"AAAAAH3//wc=",0)</f>
        <v>0</v>
      </c>
      <c r="I9">
        <f>IF(Output!L:L,"AAAAAH3//wg=",0)</f>
        <v>0</v>
      </c>
      <c r="J9" t="e">
        <f>IF(#REF!,"AAAAAH3//wk=",0)</f>
        <v>#REF!</v>
      </c>
      <c r="K9" t="e">
        <f>AND(#REF!,"AAAAAH3//wo=")</f>
        <v>#REF!</v>
      </c>
      <c r="L9" t="e">
        <f>AND(#REF!,"AAAAAH3//ws=")</f>
        <v>#REF!</v>
      </c>
      <c r="M9" t="e">
        <f>AND(#REF!,"AAAAAH3//ww=")</f>
        <v>#REF!</v>
      </c>
      <c r="N9" t="e">
        <f>AND(#REF!,"AAAAAH3//w0=")</f>
        <v>#REF!</v>
      </c>
      <c r="O9" t="e">
        <f>AND(#REF!,"AAAAAH3//w4=")</f>
        <v>#REF!</v>
      </c>
      <c r="P9" t="e">
        <f>AND(#REF!,"AAAAAH3//w8=")</f>
        <v>#REF!</v>
      </c>
      <c r="Q9" t="e">
        <f>AND(#REF!,"AAAAAH3//xA=")</f>
        <v>#REF!</v>
      </c>
      <c r="R9" t="e">
        <f>AND(#REF!,"AAAAAH3//xE=")</f>
        <v>#REF!</v>
      </c>
      <c r="S9" t="e">
        <f>AND(#REF!,"AAAAAH3//xI=")</f>
        <v>#REF!</v>
      </c>
      <c r="T9" t="e">
        <f>AND(#REF!,"AAAAAH3//xM=")</f>
        <v>#REF!</v>
      </c>
      <c r="U9" t="e">
        <f>AND(#REF!,"AAAAAH3//xQ=")</f>
        <v>#REF!</v>
      </c>
      <c r="V9" t="e">
        <f>AND(#REF!,"AAAAAH3//xU=")</f>
        <v>#REF!</v>
      </c>
      <c r="W9" t="e">
        <f>AND(#REF!,"AAAAAH3//xY=")</f>
        <v>#REF!</v>
      </c>
      <c r="X9" t="e">
        <f>AND(#REF!,"AAAAAH3//xc=")</f>
        <v>#REF!</v>
      </c>
      <c r="Y9" t="e">
        <f>AND(#REF!,"AAAAAH3//xg=")</f>
        <v>#REF!</v>
      </c>
      <c r="Z9" t="e">
        <f>IF(#REF!,"AAAAAH3//xk=",0)</f>
        <v>#REF!</v>
      </c>
      <c r="AA9" t="e">
        <f>AND(#REF!,"AAAAAH3//xo=")</f>
        <v>#REF!</v>
      </c>
      <c r="AB9" t="e">
        <f>AND(#REF!,"AAAAAH3//xs=")</f>
        <v>#REF!</v>
      </c>
      <c r="AC9" t="e">
        <f>AND(#REF!,"AAAAAH3//xw=")</f>
        <v>#REF!</v>
      </c>
      <c r="AD9" t="e">
        <f>AND(#REF!,"AAAAAH3//x0=")</f>
        <v>#REF!</v>
      </c>
      <c r="AE9" t="e">
        <f>AND(#REF!,"AAAAAH3//x4=")</f>
        <v>#REF!</v>
      </c>
      <c r="AF9" t="e">
        <f>AND(#REF!,"AAAAAH3//x8=")</f>
        <v>#REF!</v>
      </c>
      <c r="AG9" t="e">
        <f>AND(#REF!,"AAAAAH3//yA=")</f>
        <v>#REF!</v>
      </c>
      <c r="AH9" t="e">
        <f>AND(#REF!,"AAAAAH3//yE=")</f>
        <v>#REF!</v>
      </c>
      <c r="AI9" t="e">
        <f>AND(#REF!,"AAAAAH3//yI=")</f>
        <v>#REF!</v>
      </c>
      <c r="AJ9" t="e">
        <f>AND(#REF!,"AAAAAH3//yM=")</f>
        <v>#REF!</v>
      </c>
      <c r="AK9" t="e">
        <f>AND(#REF!,"AAAAAH3//yQ=")</f>
        <v>#REF!</v>
      </c>
      <c r="AL9" t="e">
        <f>AND(#REF!,"AAAAAH3//yU=")</f>
        <v>#REF!</v>
      </c>
      <c r="AM9" t="e">
        <f>AND(#REF!,"AAAAAH3//yY=")</f>
        <v>#REF!</v>
      </c>
      <c r="AN9" t="e">
        <f>AND(#REF!,"AAAAAH3//yc=")</f>
        <v>#REF!</v>
      </c>
      <c r="AO9" t="e">
        <f>AND(#REF!,"AAAAAH3//yg=")</f>
        <v>#REF!</v>
      </c>
      <c r="AP9" t="e">
        <f>IF(#REF!,"AAAAAH3//yk=",0)</f>
        <v>#REF!</v>
      </c>
      <c r="AQ9" t="e">
        <f>AND(#REF!,"AAAAAH3//yo=")</f>
        <v>#REF!</v>
      </c>
      <c r="AR9" t="e">
        <f>AND(#REF!,"AAAAAH3//ys=")</f>
        <v>#REF!</v>
      </c>
      <c r="AS9" t="e">
        <f>AND(#REF!,"AAAAAH3//yw=")</f>
        <v>#REF!</v>
      </c>
      <c r="AT9" t="e">
        <f>AND(#REF!,"AAAAAH3//y0=")</f>
        <v>#REF!</v>
      </c>
      <c r="AU9" t="e">
        <f>AND(#REF!,"AAAAAH3//y4=")</f>
        <v>#REF!</v>
      </c>
      <c r="AV9" t="e">
        <f>AND(#REF!,"AAAAAH3//y8=")</f>
        <v>#REF!</v>
      </c>
      <c r="AW9" t="e">
        <f>AND(#REF!,"AAAAAH3//zA=")</f>
        <v>#REF!</v>
      </c>
      <c r="AX9" t="e">
        <f>AND(#REF!,"AAAAAH3//zE=")</f>
        <v>#REF!</v>
      </c>
      <c r="AY9" t="e">
        <f>AND(#REF!,"AAAAAH3//zI=")</f>
        <v>#REF!</v>
      </c>
      <c r="AZ9" t="e">
        <f>AND(#REF!,"AAAAAH3//zM=")</f>
        <v>#REF!</v>
      </c>
      <c r="BA9" t="e">
        <f>AND(#REF!,"AAAAAH3//zQ=")</f>
        <v>#REF!</v>
      </c>
      <c r="BB9" t="e">
        <f>AND(#REF!,"AAAAAH3//zU=")</f>
        <v>#REF!</v>
      </c>
      <c r="BC9" t="e">
        <f>AND(#REF!,"AAAAAH3//zY=")</f>
        <v>#REF!</v>
      </c>
      <c r="BD9" t="e">
        <f>AND(#REF!,"AAAAAH3//zc=")</f>
        <v>#REF!</v>
      </c>
      <c r="BE9" t="e">
        <f>AND(#REF!,"AAAAAH3//zg=")</f>
        <v>#REF!</v>
      </c>
      <c r="BF9" t="e">
        <f>IF(#REF!,"AAAAAH3//zk=",0)</f>
        <v>#REF!</v>
      </c>
      <c r="BG9" t="e">
        <f>AND(#REF!,"AAAAAH3//zo=")</f>
        <v>#REF!</v>
      </c>
      <c r="BH9" t="e">
        <f>AND(#REF!,"AAAAAH3//zs=")</f>
        <v>#REF!</v>
      </c>
      <c r="BI9" t="e">
        <f>AND(#REF!,"AAAAAH3//zw=")</f>
        <v>#REF!</v>
      </c>
      <c r="BJ9" t="e">
        <f>AND(#REF!,"AAAAAH3//z0=")</f>
        <v>#REF!</v>
      </c>
      <c r="BK9" t="e">
        <f>AND(#REF!,"AAAAAH3//z4=")</f>
        <v>#REF!</v>
      </c>
      <c r="BL9" t="e">
        <f>AND(#REF!,"AAAAAH3//z8=")</f>
        <v>#REF!</v>
      </c>
      <c r="BM9" t="e">
        <f>AND(#REF!,"AAAAAH3//0A=")</f>
        <v>#REF!</v>
      </c>
      <c r="BN9" t="e">
        <f>AND(#REF!,"AAAAAH3//0E=")</f>
        <v>#REF!</v>
      </c>
      <c r="BO9" t="e">
        <f>AND(#REF!,"AAAAAH3//0I=")</f>
        <v>#REF!</v>
      </c>
      <c r="BP9" t="e">
        <f>AND(#REF!,"AAAAAH3//0M=")</f>
        <v>#REF!</v>
      </c>
      <c r="BQ9" t="e">
        <f>AND(#REF!,"AAAAAH3//0Q=")</f>
        <v>#REF!</v>
      </c>
      <c r="BR9" t="e">
        <f>AND(#REF!,"AAAAAH3//0U=")</f>
        <v>#REF!</v>
      </c>
      <c r="BS9" t="e">
        <f>AND(#REF!,"AAAAAH3//0Y=")</f>
        <v>#REF!</v>
      </c>
      <c r="BT9" t="e">
        <f>AND(#REF!,"AAAAAH3//0c=")</f>
        <v>#REF!</v>
      </c>
      <c r="BU9" t="e">
        <f>AND(#REF!,"AAAAAH3//0g=")</f>
        <v>#REF!</v>
      </c>
      <c r="BV9" t="e">
        <f>IF(#REF!,"AAAAAH3//0k=",0)</f>
        <v>#REF!</v>
      </c>
      <c r="BW9" t="e">
        <f>AND(#REF!,"AAAAAH3//0o=")</f>
        <v>#REF!</v>
      </c>
      <c r="BX9" t="e">
        <f>AND(#REF!,"AAAAAH3//0s=")</f>
        <v>#REF!</v>
      </c>
      <c r="BY9" t="e">
        <f>AND(#REF!,"AAAAAH3//0w=")</f>
        <v>#REF!</v>
      </c>
      <c r="BZ9" t="e">
        <f>AND(#REF!,"AAAAAH3//00=")</f>
        <v>#REF!</v>
      </c>
      <c r="CA9" t="e">
        <f>AND(#REF!,"AAAAAH3//04=")</f>
        <v>#REF!</v>
      </c>
      <c r="CB9" t="e">
        <f>AND(#REF!,"AAAAAH3//08=")</f>
        <v>#REF!</v>
      </c>
      <c r="CC9" t="e">
        <f>AND(#REF!,"AAAAAH3//1A=")</f>
        <v>#REF!</v>
      </c>
      <c r="CD9" t="e">
        <f>AND(#REF!,"AAAAAH3//1E=")</f>
        <v>#REF!</v>
      </c>
      <c r="CE9" t="e">
        <f>AND(#REF!,"AAAAAH3//1I=")</f>
        <v>#REF!</v>
      </c>
      <c r="CF9" t="e">
        <f>AND(#REF!,"AAAAAH3//1M=")</f>
        <v>#REF!</v>
      </c>
      <c r="CG9" t="e">
        <f>AND(#REF!,"AAAAAH3//1Q=")</f>
        <v>#REF!</v>
      </c>
      <c r="CH9" t="e">
        <f>AND(#REF!,"AAAAAH3//1U=")</f>
        <v>#REF!</v>
      </c>
      <c r="CI9" t="e">
        <f>AND(#REF!,"AAAAAH3//1Y=")</f>
        <v>#REF!</v>
      </c>
      <c r="CJ9" t="e">
        <f>AND(#REF!,"AAAAAH3//1c=")</f>
        <v>#REF!</v>
      </c>
      <c r="CK9" t="e">
        <f>AND(#REF!,"AAAAAH3//1g=")</f>
        <v>#REF!</v>
      </c>
      <c r="CL9" t="e">
        <f>IF(#REF!,"AAAAAH3//1k=",0)</f>
        <v>#REF!</v>
      </c>
      <c r="CM9" t="e">
        <f>AND(#REF!,"AAAAAH3//1o=")</f>
        <v>#REF!</v>
      </c>
      <c r="CN9" t="e">
        <f>AND(#REF!,"AAAAAH3//1s=")</f>
        <v>#REF!</v>
      </c>
      <c r="CO9" t="e">
        <f>AND(#REF!,"AAAAAH3//1w=")</f>
        <v>#REF!</v>
      </c>
      <c r="CP9" t="e">
        <f>AND(#REF!,"AAAAAH3//10=")</f>
        <v>#REF!</v>
      </c>
      <c r="CQ9" t="e">
        <f>AND(#REF!,"AAAAAH3//14=")</f>
        <v>#REF!</v>
      </c>
      <c r="CR9" t="e">
        <f>AND(#REF!,"AAAAAH3//18=")</f>
        <v>#REF!</v>
      </c>
      <c r="CS9" t="e">
        <f>AND(#REF!,"AAAAAH3//2A=")</f>
        <v>#REF!</v>
      </c>
      <c r="CT9" t="e">
        <f>AND(#REF!,"AAAAAH3//2E=")</f>
        <v>#REF!</v>
      </c>
      <c r="CU9" t="e">
        <f>AND(#REF!,"AAAAAH3//2I=")</f>
        <v>#REF!</v>
      </c>
      <c r="CV9" t="e">
        <f>AND(#REF!,"AAAAAH3//2M=")</f>
        <v>#REF!</v>
      </c>
      <c r="CW9" t="e">
        <f>AND(#REF!,"AAAAAH3//2Q=")</f>
        <v>#REF!</v>
      </c>
      <c r="CX9" t="e">
        <f>AND(#REF!,"AAAAAH3//2U=")</f>
        <v>#REF!</v>
      </c>
      <c r="CY9" t="e">
        <f>AND(#REF!,"AAAAAH3//2Y=")</f>
        <v>#REF!</v>
      </c>
      <c r="CZ9" t="e">
        <f>AND(#REF!,"AAAAAH3//2c=")</f>
        <v>#REF!</v>
      </c>
      <c r="DA9" t="e">
        <f>AND(#REF!,"AAAAAH3//2g=")</f>
        <v>#REF!</v>
      </c>
      <c r="DB9" t="e">
        <f>IF(#REF!,"AAAAAH3//2k=",0)</f>
        <v>#REF!</v>
      </c>
      <c r="DC9" t="e">
        <f>AND(#REF!,"AAAAAH3//2o=")</f>
        <v>#REF!</v>
      </c>
      <c r="DD9" t="e">
        <f>AND(#REF!,"AAAAAH3//2s=")</f>
        <v>#REF!</v>
      </c>
      <c r="DE9" t="e">
        <f>AND(#REF!,"AAAAAH3//2w=")</f>
        <v>#REF!</v>
      </c>
      <c r="DF9" t="e">
        <f>AND(#REF!,"AAAAAH3//20=")</f>
        <v>#REF!</v>
      </c>
      <c r="DG9" t="e">
        <f>AND(#REF!,"AAAAAH3//24=")</f>
        <v>#REF!</v>
      </c>
      <c r="DH9" t="e">
        <f>AND(#REF!,"AAAAAH3//28=")</f>
        <v>#REF!</v>
      </c>
      <c r="DI9" t="e">
        <f>AND(#REF!,"AAAAAH3//3A=")</f>
        <v>#REF!</v>
      </c>
      <c r="DJ9" t="e">
        <f>AND(#REF!,"AAAAAH3//3E=")</f>
        <v>#REF!</v>
      </c>
      <c r="DK9" t="e">
        <f>AND(#REF!,"AAAAAH3//3I=")</f>
        <v>#REF!</v>
      </c>
      <c r="DL9" t="e">
        <f>AND(#REF!,"AAAAAH3//3M=")</f>
        <v>#REF!</v>
      </c>
      <c r="DM9" t="e">
        <f>AND(#REF!,"AAAAAH3//3Q=")</f>
        <v>#REF!</v>
      </c>
      <c r="DN9" t="e">
        <f>AND(#REF!,"AAAAAH3//3U=")</f>
        <v>#REF!</v>
      </c>
      <c r="DO9" t="e">
        <f>AND(#REF!,"AAAAAH3//3Y=")</f>
        <v>#REF!</v>
      </c>
      <c r="DP9" t="e">
        <f>AND(#REF!,"AAAAAH3//3c=")</f>
        <v>#REF!</v>
      </c>
      <c r="DQ9" t="e">
        <f>AND(#REF!,"AAAAAH3//3g=")</f>
        <v>#REF!</v>
      </c>
      <c r="DR9" t="e">
        <f>IF(#REF!,"AAAAAH3//3k=",0)</f>
        <v>#REF!</v>
      </c>
      <c r="DS9" t="e">
        <f>AND(#REF!,"AAAAAH3//3o=")</f>
        <v>#REF!</v>
      </c>
      <c r="DT9" t="e">
        <f>AND(#REF!,"AAAAAH3//3s=")</f>
        <v>#REF!</v>
      </c>
      <c r="DU9" t="e">
        <f>AND(#REF!,"AAAAAH3//3w=")</f>
        <v>#REF!</v>
      </c>
      <c r="DV9" t="e">
        <f>AND(#REF!,"AAAAAH3//30=")</f>
        <v>#REF!</v>
      </c>
      <c r="DW9" t="e">
        <f>AND(#REF!,"AAAAAH3//34=")</f>
        <v>#REF!</v>
      </c>
      <c r="DX9" t="e">
        <f>AND(#REF!,"AAAAAH3//38=")</f>
        <v>#REF!</v>
      </c>
      <c r="DY9" t="e">
        <f>AND(#REF!,"AAAAAH3//4A=")</f>
        <v>#REF!</v>
      </c>
      <c r="DZ9" t="e">
        <f>AND(#REF!,"AAAAAH3//4E=")</f>
        <v>#REF!</v>
      </c>
      <c r="EA9" t="e">
        <f>AND(#REF!,"AAAAAH3//4I=")</f>
        <v>#REF!</v>
      </c>
      <c r="EB9" t="e">
        <f>AND(#REF!,"AAAAAH3//4M=")</f>
        <v>#REF!</v>
      </c>
      <c r="EC9" t="e">
        <f>AND(#REF!,"AAAAAH3//4Q=")</f>
        <v>#REF!</v>
      </c>
      <c r="ED9" t="e">
        <f>AND(#REF!,"AAAAAH3//4U=")</f>
        <v>#REF!</v>
      </c>
      <c r="EE9" t="e">
        <f>AND(#REF!,"AAAAAH3//4Y=")</f>
        <v>#REF!</v>
      </c>
      <c r="EF9" t="e">
        <f>AND(#REF!,"AAAAAH3//4c=")</f>
        <v>#REF!</v>
      </c>
      <c r="EG9" t="e">
        <f>AND(#REF!,"AAAAAH3//4g=")</f>
        <v>#REF!</v>
      </c>
      <c r="EH9" t="e">
        <f>IF(#REF!,"AAAAAH3//4k=",0)</f>
        <v>#REF!</v>
      </c>
      <c r="EI9" t="e">
        <f>AND(#REF!,"AAAAAH3//4o=")</f>
        <v>#REF!</v>
      </c>
      <c r="EJ9" t="e">
        <f>AND(#REF!,"AAAAAH3//4s=")</f>
        <v>#REF!</v>
      </c>
      <c r="EK9" t="e">
        <f>AND(#REF!,"AAAAAH3//4w=")</f>
        <v>#REF!</v>
      </c>
      <c r="EL9" t="e">
        <f>AND(#REF!,"AAAAAH3//40=")</f>
        <v>#REF!</v>
      </c>
      <c r="EM9" t="e">
        <f>AND(#REF!,"AAAAAH3//44=")</f>
        <v>#REF!</v>
      </c>
      <c r="EN9" t="e">
        <f>AND(#REF!,"AAAAAH3//48=")</f>
        <v>#REF!</v>
      </c>
      <c r="EO9" t="e">
        <f>AND(#REF!,"AAAAAH3//5A=")</f>
        <v>#REF!</v>
      </c>
      <c r="EP9" t="e">
        <f>AND(#REF!,"AAAAAH3//5E=")</f>
        <v>#REF!</v>
      </c>
      <c r="EQ9" t="e">
        <f>AND(#REF!,"AAAAAH3//5I=")</f>
        <v>#REF!</v>
      </c>
      <c r="ER9" t="e">
        <f>AND(#REF!,"AAAAAH3//5M=")</f>
        <v>#REF!</v>
      </c>
      <c r="ES9" t="e">
        <f>AND(#REF!,"AAAAAH3//5Q=")</f>
        <v>#REF!</v>
      </c>
      <c r="ET9" t="e">
        <f>AND(#REF!,"AAAAAH3//5U=")</f>
        <v>#REF!</v>
      </c>
      <c r="EU9" t="e">
        <f>AND(#REF!,"AAAAAH3//5Y=")</f>
        <v>#REF!</v>
      </c>
      <c r="EV9" t="e">
        <f>AND(#REF!,"AAAAAH3//5c=")</f>
        <v>#REF!</v>
      </c>
      <c r="EW9" t="e">
        <f>AND(#REF!,"AAAAAH3//5g=")</f>
        <v>#REF!</v>
      </c>
      <c r="EX9" t="e">
        <f>IF(#REF!,"AAAAAH3//5k=",0)</f>
        <v>#REF!</v>
      </c>
      <c r="EY9" t="e">
        <f>AND(#REF!,"AAAAAH3//5o=")</f>
        <v>#REF!</v>
      </c>
      <c r="EZ9" t="e">
        <f>AND(#REF!,"AAAAAH3//5s=")</f>
        <v>#REF!</v>
      </c>
      <c r="FA9" t="e">
        <f>AND(#REF!,"AAAAAH3//5w=")</f>
        <v>#REF!</v>
      </c>
      <c r="FB9" t="e">
        <f>AND(#REF!,"AAAAAH3//50=")</f>
        <v>#REF!</v>
      </c>
      <c r="FC9" t="e">
        <f>AND(#REF!,"AAAAAH3//54=")</f>
        <v>#REF!</v>
      </c>
      <c r="FD9" t="e">
        <f>AND(#REF!,"AAAAAH3//58=")</f>
        <v>#REF!</v>
      </c>
      <c r="FE9" t="e">
        <f>AND(#REF!,"AAAAAH3//6A=")</f>
        <v>#REF!</v>
      </c>
      <c r="FF9" t="e">
        <f>AND(#REF!,"AAAAAH3//6E=")</f>
        <v>#REF!</v>
      </c>
      <c r="FG9" t="e">
        <f>AND(#REF!,"AAAAAH3//6I=")</f>
        <v>#REF!</v>
      </c>
      <c r="FH9" t="e">
        <f>AND(#REF!,"AAAAAH3//6M=")</f>
        <v>#REF!</v>
      </c>
      <c r="FI9" t="e">
        <f>AND(#REF!,"AAAAAH3//6Q=")</f>
        <v>#REF!</v>
      </c>
      <c r="FJ9" t="e">
        <f>AND(#REF!,"AAAAAH3//6U=")</f>
        <v>#REF!</v>
      </c>
      <c r="FK9" t="e">
        <f>AND(#REF!,"AAAAAH3//6Y=")</f>
        <v>#REF!</v>
      </c>
      <c r="FL9" t="e">
        <f>AND(#REF!,"AAAAAH3//6c=")</f>
        <v>#REF!</v>
      </c>
      <c r="FM9" t="e">
        <f>AND(#REF!,"AAAAAH3//6g=")</f>
        <v>#REF!</v>
      </c>
      <c r="FN9" t="e">
        <f>IF(#REF!,"AAAAAH3//6k=",0)</f>
        <v>#REF!</v>
      </c>
      <c r="FO9" t="e">
        <f>AND(#REF!,"AAAAAH3//6o=")</f>
        <v>#REF!</v>
      </c>
      <c r="FP9" t="e">
        <f>AND(#REF!,"AAAAAH3//6s=")</f>
        <v>#REF!</v>
      </c>
      <c r="FQ9" t="e">
        <f>AND(#REF!,"AAAAAH3//6w=")</f>
        <v>#REF!</v>
      </c>
      <c r="FR9" t="e">
        <f>AND(#REF!,"AAAAAH3//60=")</f>
        <v>#REF!</v>
      </c>
      <c r="FS9" t="e">
        <f>AND(#REF!,"AAAAAH3//64=")</f>
        <v>#REF!</v>
      </c>
      <c r="FT9" t="e">
        <f>AND(#REF!,"AAAAAH3//68=")</f>
        <v>#REF!</v>
      </c>
      <c r="FU9" t="e">
        <f>AND(#REF!,"AAAAAH3//7A=")</f>
        <v>#REF!</v>
      </c>
      <c r="FV9" t="e">
        <f>AND(#REF!,"AAAAAH3//7E=")</f>
        <v>#REF!</v>
      </c>
      <c r="FW9" t="e">
        <f>AND(#REF!,"AAAAAH3//7I=")</f>
        <v>#REF!</v>
      </c>
      <c r="FX9" t="e">
        <f>AND(#REF!,"AAAAAH3//7M=")</f>
        <v>#REF!</v>
      </c>
      <c r="FY9" t="e">
        <f>AND(#REF!,"AAAAAH3//7Q=")</f>
        <v>#REF!</v>
      </c>
      <c r="FZ9" t="e">
        <f>AND(#REF!,"AAAAAH3//7U=")</f>
        <v>#REF!</v>
      </c>
      <c r="GA9" t="e">
        <f>AND(#REF!,"AAAAAH3//7Y=")</f>
        <v>#REF!</v>
      </c>
      <c r="GB9" t="e">
        <f>AND(#REF!,"AAAAAH3//7c=")</f>
        <v>#REF!</v>
      </c>
      <c r="GC9" t="e">
        <f>AND(#REF!,"AAAAAH3//7g=")</f>
        <v>#REF!</v>
      </c>
      <c r="GD9" t="e">
        <f>IF(#REF!,"AAAAAH3//7k=",0)</f>
        <v>#REF!</v>
      </c>
      <c r="GE9" t="e">
        <f>AND(#REF!,"AAAAAH3//7o=")</f>
        <v>#REF!</v>
      </c>
      <c r="GF9" t="e">
        <f>AND(#REF!,"AAAAAH3//7s=")</f>
        <v>#REF!</v>
      </c>
      <c r="GG9" t="e">
        <f>AND(#REF!,"AAAAAH3//7w=")</f>
        <v>#REF!</v>
      </c>
      <c r="GH9" t="e">
        <f>AND(#REF!,"AAAAAH3//70=")</f>
        <v>#REF!</v>
      </c>
      <c r="GI9" t="e">
        <f>AND(#REF!,"AAAAAH3//74=")</f>
        <v>#REF!</v>
      </c>
      <c r="GJ9" t="e">
        <f>AND(#REF!,"AAAAAH3//78=")</f>
        <v>#REF!</v>
      </c>
      <c r="GK9" t="e">
        <f>AND(#REF!,"AAAAAH3//8A=")</f>
        <v>#REF!</v>
      </c>
      <c r="GL9" t="e">
        <f>AND(#REF!,"AAAAAH3//8E=")</f>
        <v>#REF!</v>
      </c>
      <c r="GM9" t="e">
        <f>AND(#REF!,"AAAAAH3//8I=")</f>
        <v>#REF!</v>
      </c>
      <c r="GN9" t="e">
        <f>AND(#REF!,"AAAAAH3//8M=")</f>
        <v>#REF!</v>
      </c>
      <c r="GO9" t="e">
        <f>AND(#REF!,"AAAAAH3//8Q=")</f>
        <v>#REF!</v>
      </c>
      <c r="GP9" t="e">
        <f>AND(#REF!,"AAAAAH3//8U=")</f>
        <v>#REF!</v>
      </c>
      <c r="GQ9" t="e">
        <f>AND(#REF!,"AAAAAH3//8Y=")</f>
        <v>#REF!</v>
      </c>
      <c r="GR9" t="e">
        <f>AND(#REF!,"AAAAAH3//8c=")</f>
        <v>#REF!</v>
      </c>
      <c r="GS9" t="e">
        <f>AND(#REF!,"AAAAAH3//8g=")</f>
        <v>#REF!</v>
      </c>
      <c r="GT9" t="e">
        <f>IF(#REF!,"AAAAAH3//8k=",0)</f>
        <v>#REF!</v>
      </c>
      <c r="GU9" t="e">
        <f>AND(#REF!,"AAAAAH3//8o=")</f>
        <v>#REF!</v>
      </c>
      <c r="GV9" t="e">
        <f>AND(#REF!,"AAAAAH3//8s=")</f>
        <v>#REF!</v>
      </c>
      <c r="GW9" t="e">
        <f>AND(#REF!,"AAAAAH3//8w=")</f>
        <v>#REF!</v>
      </c>
      <c r="GX9" t="e">
        <f>AND(#REF!,"AAAAAH3//80=")</f>
        <v>#REF!</v>
      </c>
      <c r="GY9" t="e">
        <f>AND(#REF!,"AAAAAH3//84=")</f>
        <v>#REF!</v>
      </c>
      <c r="GZ9" t="e">
        <f>AND(#REF!,"AAAAAH3//88=")</f>
        <v>#REF!</v>
      </c>
      <c r="HA9" t="e">
        <f>AND(#REF!,"AAAAAH3//9A=")</f>
        <v>#REF!</v>
      </c>
      <c r="HB9" t="e">
        <f>AND(#REF!,"AAAAAH3//9E=")</f>
        <v>#REF!</v>
      </c>
      <c r="HC9" t="e">
        <f>AND(#REF!,"AAAAAH3//9I=")</f>
        <v>#REF!</v>
      </c>
      <c r="HD9" t="e">
        <f>AND(#REF!,"AAAAAH3//9M=")</f>
        <v>#REF!</v>
      </c>
      <c r="HE9" t="e">
        <f>AND(#REF!,"AAAAAH3//9Q=")</f>
        <v>#REF!</v>
      </c>
      <c r="HF9" t="e">
        <f>AND(#REF!,"AAAAAH3//9U=")</f>
        <v>#REF!</v>
      </c>
      <c r="HG9" t="e">
        <f>AND(#REF!,"AAAAAH3//9Y=")</f>
        <v>#REF!</v>
      </c>
      <c r="HH9" t="e">
        <f>AND(#REF!,"AAAAAH3//9c=")</f>
        <v>#REF!</v>
      </c>
      <c r="HI9" t="e">
        <f>AND(#REF!,"AAAAAH3//9g=")</f>
        <v>#REF!</v>
      </c>
      <c r="HJ9" t="e">
        <f>IF(#REF!,"AAAAAH3//9k=",0)</f>
        <v>#REF!</v>
      </c>
      <c r="HK9" t="e">
        <f>AND(#REF!,"AAAAAH3//9o=")</f>
        <v>#REF!</v>
      </c>
      <c r="HL9" t="e">
        <f>AND(#REF!,"AAAAAH3//9s=")</f>
        <v>#REF!</v>
      </c>
      <c r="HM9" t="e">
        <f>AND(#REF!,"AAAAAH3//9w=")</f>
        <v>#REF!</v>
      </c>
      <c r="HN9" t="e">
        <f>AND(#REF!,"AAAAAH3//90=")</f>
        <v>#REF!</v>
      </c>
      <c r="HO9" t="e">
        <f>AND(#REF!,"AAAAAH3//94=")</f>
        <v>#REF!</v>
      </c>
      <c r="HP9" t="e">
        <f>AND(#REF!,"AAAAAH3//98=")</f>
        <v>#REF!</v>
      </c>
      <c r="HQ9" t="e">
        <f>AND(#REF!,"AAAAAH3//+A=")</f>
        <v>#REF!</v>
      </c>
      <c r="HR9" t="e">
        <f>AND(#REF!,"AAAAAH3//+E=")</f>
        <v>#REF!</v>
      </c>
      <c r="HS9" t="e">
        <f>AND(#REF!,"AAAAAH3//+I=")</f>
        <v>#REF!</v>
      </c>
      <c r="HT9" t="e">
        <f>AND(#REF!,"AAAAAH3//+M=")</f>
        <v>#REF!</v>
      </c>
      <c r="HU9" t="e">
        <f>AND(#REF!,"AAAAAH3//+Q=")</f>
        <v>#REF!</v>
      </c>
      <c r="HV9" t="e">
        <f>AND(#REF!,"AAAAAH3//+U=")</f>
        <v>#REF!</v>
      </c>
      <c r="HW9" t="e">
        <f>AND(#REF!,"AAAAAH3//+Y=")</f>
        <v>#REF!</v>
      </c>
      <c r="HX9" t="e">
        <f>AND(#REF!,"AAAAAH3//+c=")</f>
        <v>#REF!</v>
      </c>
      <c r="HY9" t="e">
        <f>AND(#REF!,"AAAAAH3//+g=")</f>
        <v>#REF!</v>
      </c>
      <c r="HZ9" t="e">
        <f>IF(#REF!,"AAAAAH3//+k=",0)</f>
        <v>#REF!</v>
      </c>
      <c r="IA9" t="e">
        <f>AND(#REF!,"AAAAAH3//+o=")</f>
        <v>#REF!</v>
      </c>
      <c r="IB9" t="e">
        <f>AND(#REF!,"AAAAAH3//+s=")</f>
        <v>#REF!</v>
      </c>
      <c r="IC9" t="e">
        <f>AND(#REF!,"AAAAAH3//+w=")</f>
        <v>#REF!</v>
      </c>
      <c r="ID9" t="e">
        <f>AND(#REF!,"AAAAAH3//+0=")</f>
        <v>#REF!</v>
      </c>
      <c r="IE9" t="e">
        <f>AND(#REF!,"AAAAAH3//+4=")</f>
        <v>#REF!</v>
      </c>
      <c r="IF9" t="e">
        <f>AND(#REF!,"AAAAAH3//+8=")</f>
        <v>#REF!</v>
      </c>
      <c r="IG9" t="e">
        <f>AND(#REF!,"AAAAAH3///A=")</f>
        <v>#REF!</v>
      </c>
      <c r="IH9" t="e">
        <f>AND(#REF!,"AAAAAH3///E=")</f>
        <v>#REF!</v>
      </c>
      <c r="II9" t="e">
        <f>AND(#REF!,"AAAAAH3///I=")</f>
        <v>#REF!</v>
      </c>
      <c r="IJ9" t="e">
        <f>AND(#REF!,"AAAAAH3///M=")</f>
        <v>#REF!</v>
      </c>
      <c r="IK9" t="e">
        <f>AND(#REF!,"AAAAAH3///Q=")</f>
        <v>#REF!</v>
      </c>
      <c r="IL9" t="e">
        <f>AND(#REF!,"AAAAAH3///U=")</f>
        <v>#REF!</v>
      </c>
      <c r="IM9" t="e">
        <f>AND(#REF!,"AAAAAH3///Y=")</f>
        <v>#REF!</v>
      </c>
      <c r="IN9" t="e">
        <f>AND(#REF!,"AAAAAH3///c=")</f>
        <v>#REF!</v>
      </c>
      <c r="IO9" t="e">
        <f>AND(#REF!,"AAAAAH3///g=")</f>
        <v>#REF!</v>
      </c>
      <c r="IP9" t="e">
        <f>IF(#REF!,"AAAAAH3///k=",0)</f>
        <v>#REF!</v>
      </c>
      <c r="IQ9" t="e">
        <f>AND(#REF!,"AAAAAH3///o=")</f>
        <v>#REF!</v>
      </c>
      <c r="IR9" t="e">
        <f>AND(#REF!,"AAAAAH3///s=")</f>
        <v>#REF!</v>
      </c>
      <c r="IS9" t="e">
        <f>AND(#REF!,"AAAAAH3///w=")</f>
        <v>#REF!</v>
      </c>
      <c r="IT9" t="e">
        <f>AND(#REF!,"AAAAAH3///0=")</f>
        <v>#REF!</v>
      </c>
      <c r="IU9" t="e">
        <f>AND(#REF!,"AAAAAH3///4=")</f>
        <v>#REF!</v>
      </c>
      <c r="IV9" t="e">
        <f>AND(#REF!,"AAAAAH3///8=")</f>
        <v>#REF!</v>
      </c>
    </row>
    <row r="10" spans="1:256">
      <c r="A10" t="e">
        <f>AND(#REF!,"AAAAAEWvvgA=")</f>
        <v>#REF!</v>
      </c>
      <c r="B10" t="e">
        <f>AND(#REF!,"AAAAAEWvvgE=")</f>
        <v>#REF!</v>
      </c>
      <c r="C10" t="e">
        <f>AND(#REF!,"AAAAAEWvvgI=")</f>
        <v>#REF!</v>
      </c>
      <c r="D10" t="e">
        <f>AND(#REF!,"AAAAAEWvvgM=")</f>
        <v>#REF!</v>
      </c>
      <c r="E10" t="e">
        <f>AND(#REF!,"AAAAAEWvvgQ=")</f>
        <v>#REF!</v>
      </c>
      <c r="F10" t="e">
        <f>AND(#REF!,"AAAAAEWvvgU=")</f>
        <v>#REF!</v>
      </c>
      <c r="G10" t="e">
        <f>AND(#REF!,"AAAAAEWvvgY=")</f>
        <v>#REF!</v>
      </c>
      <c r="H10" t="e">
        <f>AND(#REF!,"AAAAAEWvvgc=")</f>
        <v>#REF!</v>
      </c>
      <c r="I10" t="e">
        <f>AND(#REF!,"AAAAAEWvvgg=")</f>
        <v>#REF!</v>
      </c>
      <c r="J10" t="e">
        <f>IF(#REF!,"AAAAAEWvvgk=",0)</f>
        <v>#REF!</v>
      </c>
      <c r="K10" t="e">
        <f>AND(#REF!,"AAAAAEWvvgo=")</f>
        <v>#REF!</v>
      </c>
      <c r="L10" t="e">
        <f>AND(#REF!,"AAAAAEWvvgs=")</f>
        <v>#REF!</v>
      </c>
      <c r="M10" t="e">
        <f>AND(#REF!,"AAAAAEWvvgw=")</f>
        <v>#REF!</v>
      </c>
      <c r="N10" t="e">
        <f>AND(#REF!,"AAAAAEWvvg0=")</f>
        <v>#REF!</v>
      </c>
      <c r="O10" t="e">
        <f>AND(#REF!,"AAAAAEWvvg4=")</f>
        <v>#REF!</v>
      </c>
      <c r="P10" t="e">
        <f>AND(#REF!,"AAAAAEWvvg8=")</f>
        <v>#REF!</v>
      </c>
      <c r="Q10" t="e">
        <f>AND(#REF!,"AAAAAEWvvhA=")</f>
        <v>#REF!</v>
      </c>
      <c r="R10" t="e">
        <f>AND(#REF!,"AAAAAEWvvhE=")</f>
        <v>#REF!</v>
      </c>
      <c r="S10" t="e">
        <f>AND(#REF!,"AAAAAEWvvhI=")</f>
        <v>#REF!</v>
      </c>
      <c r="T10" t="e">
        <f>AND(#REF!,"AAAAAEWvvhM=")</f>
        <v>#REF!</v>
      </c>
      <c r="U10" t="e">
        <f>AND(#REF!,"AAAAAEWvvhQ=")</f>
        <v>#REF!</v>
      </c>
      <c r="V10" t="e">
        <f>AND(#REF!,"AAAAAEWvvhU=")</f>
        <v>#REF!</v>
      </c>
      <c r="W10" t="e">
        <f>AND(#REF!,"AAAAAEWvvhY=")</f>
        <v>#REF!</v>
      </c>
      <c r="X10" t="e">
        <f>AND(#REF!,"AAAAAEWvvhc=")</f>
        <v>#REF!</v>
      </c>
      <c r="Y10" t="e">
        <f>AND(#REF!,"AAAAAEWvvhg=")</f>
        <v>#REF!</v>
      </c>
      <c r="Z10" t="e">
        <f>IF(#REF!,"AAAAAEWvvhk=",0)</f>
        <v>#REF!</v>
      </c>
      <c r="AA10" t="e">
        <f>AND(#REF!,"AAAAAEWvvho=")</f>
        <v>#REF!</v>
      </c>
      <c r="AB10" t="e">
        <f>AND(#REF!,"AAAAAEWvvhs=")</f>
        <v>#REF!</v>
      </c>
      <c r="AC10" t="e">
        <f>AND(#REF!,"AAAAAEWvvhw=")</f>
        <v>#REF!</v>
      </c>
      <c r="AD10" t="e">
        <f>AND(#REF!,"AAAAAEWvvh0=")</f>
        <v>#REF!</v>
      </c>
      <c r="AE10" t="e">
        <f>AND(#REF!,"AAAAAEWvvh4=")</f>
        <v>#REF!</v>
      </c>
      <c r="AF10" t="e">
        <f>AND(#REF!,"AAAAAEWvvh8=")</f>
        <v>#REF!</v>
      </c>
      <c r="AG10" t="e">
        <f>AND(#REF!,"AAAAAEWvviA=")</f>
        <v>#REF!</v>
      </c>
      <c r="AH10" t="e">
        <f>AND(#REF!,"AAAAAEWvviE=")</f>
        <v>#REF!</v>
      </c>
      <c r="AI10" t="e">
        <f>AND(#REF!,"AAAAAEWvviI=")</f>
        <v>#REF!</v>
      </c>
      <c r="AJ10" t="e">
        <f>AND(#REF!,"AAAAAEWvviM=")</f>
        <v>#REF!</v>
      </c>
      <c r="AK10" t="e">
        <f>AND(#REF!,"AAAAAEWvviQ=")</f>
        <v>#REF!</v>
      </c>
      <c r="AL10" t="e">
        <f>AND(#REF!,"AAAAAEWvviU=")</f>
        <v>#REF!</v>
      </c>
      <c r="AM10" t="e">
        <f>AND(#REF!,"AAAAAEWvviY=")</f>
        <v>#REF!</v>
      </c>
      <c r="AN10" t="e">
        <f>AND(#REF!,"AAAAAEWvvic=")</f>
        <v>#REF!</v>
      </c>
      <c r="AO10" t="e">
        <f>AND(#REF!,"AAAAAEWvvig=")</f>
        <v>#REF!</v>
      </c>
      <c r="AP10" t="e">
        <f>IF(#REF!,"AAAAAEWvvik=",0)</f>
        <v>#REF!</v>
      </c>
      <c r="AQ10" t="e">
        <f>AND(#REF!,"AAAAAEWvvio=")</f>
        <v>#REF!</v>
      </c>
      <c r="AR10" t="e">
        <f>AND(#REF!,"AAAAAEWvvis=")</f>
        <v>#REF!</v>
      </c>
      <c r="AS10" t="e">
        <f>AND(#REF!,"AAAAAEWvviw=")</f>
        <v>#REF!</v>
      </c>
      <c r="AT10" t="e">
        <f>AND(#REF!,"AAAAAEWvvi0=")</f>
        <v>#REF!</v>
      </c>
      <c r="AU10" t="e">
        <f>AND(#REF!,"AAAAAEWvvi4=")</f>
        <v>#REF!</v>
      </c>
      <c r="AV10" t="e">
        <f>AND(#REF!,"AAAAAEWvvi8=")</f>
        <v>#REF!</v>
      </c>
      <c r="AW10" t="e">
        <f>AND(#REF!,"AAAAAEWvvjA=")</f>
        <v>#REF!</v>
      </c>
      <c r="AX10" t="e">
        <f>AND(#REF!,"AAAAAEWvvjE=")</f>
        <v>#REF!</v>
      </c>
      <c r="AY10" t="e">
        <f>AND(#REF!,"AAAAAEWvvjI=")</f>
        <v>#REF!</v>
      </c>
      <c r="AZ10" t="e">
        <f>AND(#REF!,"AAAAAEWvvjM=")</f>
        <v>#REF!</v>
      </c>
      <c r="BA10" t="e">
        <f>AND(#REF!,"AAAAAEWvvjQ=")</f>
        <v>#REF!</v>
      </c>
      <c r="BB10" t="e">
        <f>AND(#REF!,"AAAAAEWvvjU=")</f>
        <v>#REF!</v>
      </c>
      <c r="BC10" t="e">
        <f>AND(#REF!,"AAAAAEWvvjY=")</f>
        <v>#REF!</v>
      </c>
      <c r="BD10" t="e">
        <f>AND(#REF!,"AAAAAEWvvjc=")</f>
        <v>#REF!</v>
      </c>
      <c r="BE10" t="e">
        <f>AND(#REF!,"AAAAAEWvvjg=")</f>
        <v>#REF!</v>
      </c>
      <c r="BF10" t="e">
        <f>IF(#REF!,"AAAAAEWvvjk=",0)</f>
        <v>#REF!</v>
      </c>
      <c r="BG10" t="e">
        <f>AND(#REF!,"AAAAAEWvvjo=")</f>
        <v>#REF!</v>
      </c>
      <c r="BH10" t="e">
        <f>AND(#REF!,"AAAAAEWvvjs=")</f>
        <v>#REF!</v>
      </c>
      <c r="BI10" t="e">
        <f>AND(#REF!,"AAAAAEWvvjw=")</f>
        <v>#REF!</v>
      </c>
      <c r="BJ10" t="e">
        <f>AND(#REF!,"AAAAAEWvvj0=")</f>
        <v>#REF!</v>
      </c>
      <c r="BK10" t="e">
        <f>AND(#REF!,"AAAAAEWvvj4=")</f>
        <v>#REF!</v>
      </c>
      <c r="BL10" t="e">
        <f>AND(#REF!,"AAAAAEWvvj8=")</f>
        <v>#REF!</v>
      </c>
      <c r="BM10" t="e">
        <f>AND(#REF!,"AAAAAEWvvkA=")</f>
        <v>#REF!</v>
      </c>
      <c r="BN10" t="e">
        <f>AND(#REF!,"AAAAAEWvvkE=")</f>
        <v>#REF!</v>
      </c>
      <c r="BO10" t="e">
        <f>AND(#REF!,"AAAAAEWvvkI=")</f>
        <v>#REF!</v>
      </c>
      <c r="BP10" t="e">
        <f>AND(#REF!,"AAAAAEWvvkM=")</f>
        <v>#REF!</v>
      </c>
      <c r="BQ10" t="e">
        <f>AND(#REF!,"AAAAAEWvvkQ=")</f>
        <v>#REF!</v>
      </c>
      <c r="BR10" t="e">
        <f>AND(#REF!,"AAAAAEWvvkU=")</f>
        <v>#REF!</v>
      </c>
      <c r="BS10" t="e">
        <f>AND(#REF!,"AAAAAEWvvkY=")</f>
        <v>#REF!</v>
      </c>
      <c r="BT10" t="e">
        <f>AND(#REF!,"AAAAAEWvvkc=")</f>
        <v>#REF!</v>
      </c>
      <c r="BU10" t="e">
        <f>AND(#REF!,"AAAAAEWvvkg=")</f>
        <v>#REF!</v>
      </c>
      <c r="BV10" t="e">
        <f>IF(#REF!,"AAAAAEWvvkk=",0)</f>
        <v>#REF!</v>
      </c>
      <c r="BW10" t="e">
        <f>AND(#REF!,"AAAAAEWvvko=")</f>
        <v>#REF!</v>
      </c>
      <c r="BX10" t="e">
        <f>AND(#REF!,"AAAAAEWvvks=")</f>
        <v>#REF!</v>
      </c>
      <c r="BY10" t="e">
        <f>AND(#REF!,"AAAAAEWvvkw=")</f>
        <v>#REF!</v>
      </c>
      <c r="BZ10" t="e">
        <f>AND(#REF!,"AAAAAEWvvk0=")</f>
        <v>#REF!</v>
      </c>
      <c r="CA10" t="e">
        <f>AND(#REF!,"AAAAAEWvvk4=")</f>
        <v>#REF!</v>
      </c>
      <c r="CB10" t="e">
        <f>AND(#REF!,"AAAAAEWvvk8=")</f>
        <v>#REF!</v>
      </c>
      <c r="CC10" t="e">
        <f>AND(#REF!,"AAAAAEWvvlA=")</f>
        <v>#REF!</v>
      </c>
      <c r="CD10" t="e">
        <f>AND(#REF!,"AAAAAEWvvlE=")</f>
        <v>#REF!</v>
      </c>
      <c r="CE10" t="e">
        <f>AND(#REF!,"AAAAAEWvvlI=")</f>
        <v>#REF!</v>
      </c>
      <c r="CF10" t="e">
        <f>AND(#REF!,"AAAAAEWvvlM=")</f>
        <v>#REF!</v>
      </c>
      <c r="CG10" t="e">
        <f>AND(#REF!,"AAAAAEWvvlQ=")</f>
        <v>#REF!</v>
      </c>
      <c r="CH10" t="e">
        <f>AND(#REF!,"AAAAAEWvvlU=")</f>
        <v>#REF!</v>
      </c>
      <c r="CI10" t="e">
        <f>AND(#REF!,"AAAAAEWvvlY=")</f>
        <v>#REF!</v>
      </c>
      <c r="CJ10" t="e">
        <f>AND(#REF!,"AAAAAEWvvlc=")</f>
        <v>#REF!</v>
      </c>
      <c r="CK10" t="e">
        <f>AND(#REF!,"AAAAAEWvvlg=")</f>
        <v>#REF!</v>
      </c>
      <c r="CL10" t="e">
        <f>IF(#REF!,"AAAAAEWvvlk=",0)</f>
        <v>#REF!</v>
      </c>
      <c r="CM10" t="e">
        <f>AND(#REF!,"AAAAAEWvvlo=")</f>
        <v>#REF!</v>
      </c>
      <c r="CN10" t="e">
        <f>AND(#REF!,"AAAAAEWvvls=")</f>
        <v>#REF!</v>
      </c>
      <c r="CO10" t="e">
        <f>AND(#REF!,"AAAAAEWvvlw=")</f>
        <v>#REF!</v>
      </c>
      <c r="CP10" t="e">
        <f>AND(#REF!,"AAAAAEWvvl0=")</f>
        <v>#REF!</v>
      </c>
      <c r="CQ10" t="e">
        <f>AND(#REF!,"AAAAAEWvvl4=")</f>
        <v>#REF!</v>
      </c>
      <c r="CR10" t="e">
        <f>AND(#REF!,"AAAAAEWvvl8=")</f>
        <v>#REF!</v>
      </c>
      <c r="CS10" t="e">
        <f>AND(#REF!,"AAAAAEWvvmA=")</f>
        <v>#REF!</v>
      </c>
      <c r="CT10" t="e">
        <f>AND(#REF!,"AAAAAEWvvmE=")</f>
        <v>#REF!</v>
      </c>
      <c r="CU10" t="e">
        <f>AND(#REF!,"AAAAAEWvvmI=")</f>
        <v>#REF!</v>
      </c>
      <c r="CV10" t="e">
        <f>AND(#REF!,"AAAAAEWvvmM=")</f>
        <v>#REF!</v>
      </c>
      <c r="CW10" t="e">
        <f>AND(#REF!,"AAAAAEWvvmQ=")</f>
        <v>#REF!</v>
      </c>
      <c r="CX10" t="e">
        <f>AND(#REF!,"AAAAAEWvvmU=")</f>
        <v>#REF!</v>
      </c>
      <c r="CY10" t="e">
        <f>AND(#REF!,"AAAAAEWvvmY=")</f>
        <v>#REF!</v>
      </c>
      <c r="CZ10" t="e">
        <f>AND(#REF!,"AAAAAEWvvmc=")</f>
        <v>#REF!</v>
      </c>
      <c r="DA10" t="e">
        <f>AND(#REF!,"AAAAAEWvvmg=")</f>
        <v>#REF!</v>
      </c>
      <c r="DB10" t="e">
        <f>IF(#REF!,"AAAAAEWvvmk=",0)</f>
        <v>#REF!</v>
      </c>
      <c r="DC10" t="e">
        <f>AND(#REF!,"AAAAAEWvvmo=")</f>
        <v>#REF!</v>
      </c>
      <c r="DD10" t="e">
        <f>AND(#REF!,"AAAAAEWvvms=")</f>
        <v>#REF!</v>
      </c>
      <c r="DE10" t="e">
        <f>AND(#REF!,"AAAAAEWvvmw=")</f>
        <v>#REF!</v>
      </c>
      <c r="DF10" t="e">
        <f>AND(#REF!,"AAAAAEWvvm0=")</f>
        <v>#REF!</v>
      </c>
      <c r="DG10" t="e">
        <f>AND(#REF!,"AAAAAEWvvm4=")</f>
        <v>#REF!</v>
      </c>
      <c r="DH10" t="e">
        <f>AND(#REF!,"AAAAAEWvvm8=")</f>
        <v>#REF!</v>
      </c>
      <c r="DI10" t="e">
        <f>AND(#REF!,"AAAAAEWvvnA=")</f>
        <v>#REF!</v>
      </c>
      <c r="DJ10" t="e">
        <f>AND(#REF!,"AAAAAEWvvnE=")</f>
        <v>#REF!</v>
      </c>
      <c r="DK10" t="e">
        <f>AND(#REF!,"AAAAAEWvvnI=")</f>
        <v>#REF!</v>
      </c>
      <c r="DL10" t="e">
        <f>AND(#REF!,"AAAAAEWvvnM=")</f>
        <v>#REF!</v>
      </c>
      <c r="DM10" t="e">
        <f>AND(#REF!,"AAAAAEWvvnQ=")</f>
        <v>#REF!</v>
      </c>
      <c r="DN10" t="e">
        <f>AND(#REF!,"AAAAAEWvvnU=")</f>
        <v>#REF!</v>
      </c>
      <c r="DO10" t="e">
        <f>AND(#REF!,"AAAAAEWvvnY=")</f>
        <v>#REF!</v>
      </c>
      <c r="DP10" t="e">
        <f>AND(#REF!,"AAAAAEWvvnc=")</f>
        <v>#REF!</v>
      </c>
      <c r="DQ10" t="e">
        <f>AND(#REF!,"AAAAAEWvvng=")</f>
        <v>#REF!</v>
      </c>
      <c r="DR10" t="e">
        <f>IF(#REF!,"AAAAAEWvvnk=",0)</f>
        <v>#REF!</v>
      </c>
      <c r="DS10" t="e">
        <f>AND(#REF!,"AAAAAEWvvno=")</f>
        <v>#REF!</v>
      </c>
      <c r="DT10" t="e">
        <f>AND(#REF!,"AAAAAEWvvns=")</f>
        <v>#REF!</v>
      </c>
      <c r="DU10" t="e">
        <f>AND(#REF!,"AAAAAEWvvnw=")</f>
        <v>#REF!</v>
      </c>
      <c r="DV10" t="e">
        <f>AND(#REF!,"AAAAAEWvvn0=")</f>
        <v>#REF!</v>
      </c>
      <c r="DW10" t="e">
        <f>AND(#REF!,"AAAAAEWvvn4=")</f>
        <v>#REF!</v>
      </c>
      <c r="DX10" t="e">
        <f>AND(#REF!,"AAAAAEWvvn8=")</f>
        <v>#REF!</v>
      </c>
      <c r="DY10" t="e">
        <f>AND(#REF!,"AAAAAEWvvoA=")</f>
        <v>#REF!</v>
      </c>
      <c r="DZ10" t="e">
        <f>AND(#REF!,"AAAAAEWvvoE=")</f>
        <v>#REF!</v>
      </c>
      <c r="EA10" t="e">
        <f>AND(#REF!,"AAAAAEWvvoI=")</f>
        <v>#REF!</v>
      </c>
      <c r="EB10" t="e">
        <f>AND(#REF!,"AAAAAEWvvoM=")</f>
        <v>#REF!</v>
      </c>
      <c r="EC10" t="e">
        <f>AND(#REF!,"AAAAAEWvvoQ=")</f>
        <v>#REF!</v>
      </c>
      <c r="ED10" t="e">
        <f>AND(#REF!,"AAAAAEWvvoU=")</f>
        <v>#REF!</v>
      </c>
      <c r="EE10" t="e">
        <f>AND(#REF!,"AAAAAEWvvoY=")</f>
        <v>#REF!</v>
      </c>
      <c r="EF10" t="e">
        <f>AND(#REF!,"AAAAAEWvvoc=")</f>
        <v>#REF!</v>
      </c>
      <c r="EG10" t="e">
        <f>AND(#REF!,"AAAAAEWvvog=")</f>
        <v>#REF!</v>
      </c>
      <c r="EH10" t="e">
        <f>IF(#REF!,"AAAAAEWvvok=",0)</f>
        <v>#REF!</v>
      </c>
      <c r="EI10" t="e">
        <f>AND(#REF!,"AAAAAEWvvoo=")</f>
        <v>#REF!</v>
      </c>
      <c r="EJ10" t="e">
        <f>AND(#REF!,"AAAAAEWvvos=")</f>
        <v>#REF!</v>
      </c>
      <c r="EK10" t="e">
        <f>AND(#REF!,"AAAAAEWvvow=")</f>
        <v>#REF!</v>
      </c>
      <c r="EL10" t="e">
        <f>AND(#REF!,"AAAAAEWvvo0=")</f>
        <v>#REF!</v>
      </c>
      <c r="EM10" t="e">
        <f>AND(#REF!,"AAAAAEWvvo4=")</f>
        <v>#REF!</v>
      </c>
      <c r="EN10" t="e">
        <f>AND(#REF!,"AAAAAEWvvo8=")</f>
        <v>#REF!</v>
      </c>
      <c r="EO10" t="e">
        <f>AND(#REF!,"AAAAAEWvvpA=")</f>
        <v>#REF!</v>
      </c>
      <c r="EP10" t="e">
        <f>AND(#REF!,"AAAAAEWvvpE=")</f>
        <v>#REF!</v>
      </c>
      <c r="EQ10" t="e">
        <f>AND(#REF!,"AAAAAEWvvpI=")</f>
        <v>#REF!</v>
      </c>
      <c r="ER10" t="e">
        <f>AND(#REF!,"AAAAAEWvvpM=")</f>
        <v>#REF!</v>
      </c>
      <c r="ES10" t="e">
        <f>AND(#REF!,"AAAAAEWvvpQ=")</f>
        <v>#REF!</v>
      </c>
      <c r="ET10" t="e">
        <f>AND(#REF!,"AAAAAEWvvpU=")</f>
        <v>#REF!</v>
      </c>
      <c r="EU10" t="e">
        <f>AND(#REF!,"AAAAAEWvvpY=")</f>
        <v>#REF!</v>
      </c>
      <c r="EV10" t="e">
        <f>AND(#REF!,"AAAAAEWvvpc=")</f>
        <v>#REF!</v>
      </c>
      <c r="EW10" t="e">
        <f>AND(#REF!,"AAAAAEWvvpg=")</f>
        <v>#REF!</v>
      </c>
      <c r="EX10" t="e">
        <f>IF(#REF!,"AAAAAEWvvpk=",0)</f>
        <v>#REF!</v>
      </c>
      <c r="EY10" t="e">
        <f>AND(#REF!,"AAAAAEWvvpo=")</f>
        <v>#REF!</v>
      </c>
      <c r="EZ10" t="e">
        <f>AND(#REF!,"AAAAAEWvvps=")</f>
        <v>#REF!</v>
      </c>
      <c r="FA10" t="e">
        <f>AND(#REF!,"AAAAAEWvvpw=")</f>
        <v>#REF!</v>
      </c>
      <c r="FB10" t="e">
        <f>AND(#REF!,"AAAAAEWvvp0=")</f>
        <v>#REF!</v>
      </c>
      <c r="FC10" t="e">
        <f>AND(#REF!,"AAAAAEWvvp4=")</f>
        <v>#REF!</v>
      </c>
      <c r="FD10" t="e">
        <f>AND(#REF!,"AAAAAEWvvp8=")</f>
        <v>#REF!</v>
      </c>
      <c r="FE10" t="e">
        <f>AND(#REF!,"AAAAAEWvvqA=")</f>
        <v>#REF!</v>
      </c>
      <c r="FF10" t="e">
        <f>AND(#REF!,"AAAAAEWvvqE=")</f>
        <v>#REF!</v>
      </c>
      <c r="FG10" t="e">
        <f>AND(#REF!,"AAAAAEWvvqI=")</f>
        <v>#REF!</v>
      </c>
      <c r="FH10" t="e">
        <f>AND(#REF!,"AAAAAEWvvqM=")</f>
        <v>#REF!</v>
      </c>
      <c r="FI10" t="e">
        <f>AND(#REF!,"AAAAAEWvvqQ=")</f>
        <v>#REF!</v>
      </c>
      <c r="FJ10" t="e">
        <f>AND(#REF!,"AAAAAEWvvqU=")</f>
        <v>#REF!</v>
      </c>
      <c r="FK10" t="e">
        <f>AND(#REF!,"AAAAAEWvvqY=")</f>
        <v>#REF!</v>
      </c>
      <c r="FL10" t="e">
        <f>AND(#REF!,"AAAAAEWvvqc=")</f>
        <v>#REF!</v>
      </c>
      <c r="FM10" t="e">
        <f>AND(#REF!,"AAAAAEWvvqg=")</f>
        <v>#REF!</v>
      </c>
      <c r="FN10" t="e">
        <f>IF(#REF!,"AAAAAEWvvqk=",0)</f>
        <v>#REF!</v>
      </c>
      <c r="FO10" t="e">
        <f>AND(#REF!,"AAAAAEWvvqo=")</f>
        <v>#REF!</v>
      </c>
      <c r="FP10" t="e">
        <f>AND(#REF!,"AAAAAEWvvqs=")</f>
        <v>#REF!</v>
      </c>
      <c r="FQ10" t="e">
        <f>AND(#REF!,"AAAAAEWvvqw=")</f>
        <v>#REF!</v>
      </c>
      <c r="FR10" t="e">
        <f>AND(#REF!,"AAAAAEWvvq0=")</f>
        <v>#REF!</v>
      </c>
      <c r="FS10" t="e">
        <f>AND(#REF!,"AAAAAEWvvq4=")</f>
        <v>#REF!</v>
      </c>
      <c r="FT10" t="e">
        <f>AND(#REF!,"AAAAAEWvvq8=")</f>
        <v>#REF!</v>
      </c>
      <c r="FU10" t="e">
        <f>AND(#REF!,"AAAAAEWvvrA=")</f>
        <v>#REF!</v>
      </c>
      <c r="FV10" t="e">
        <f>AND(#REF!,"AAAAAEWvvrE=")</f>
        <v>#REF!</v>
      </c>
      <c r="FW10" t="e">
        <f>AND(#REF!,"AAAAAEWvvrI=")</f>
        <v>#REF!</v>
      </c>
      <c r="FX10" t="e">
        <f>AND(#REF!,"AAAAAEWvvrM=")</f>
        <v>#REF!</v>
      </c>
      <c r="FY10" t="e">
        <f>AND(#REF!,"AAAAAEWvvrQ=")</f>
        <v>#REF!</v>
      </c>
      <c r="FZ10" t="e">
        <f>AND(#REF!,"AAAAAEWvvrU=")</f>
        <v>#REF!</v>
      </c>
      <c r="GA10" t="e">
        <f>AND(#REF!,"AAAAAEWvvrY=")</f>
        <v>#REF!</v>
      </c>
      <c r="GB10" t="e">
        <f>AND(#REF!,"AAAAAEWvvrc=")</f>
        <v>#REF!</v>
      </c>
      <c r="GC10" t="e">
        <f>AND(#REF!,"AAAAAEWvvrg=")</f>
        <v>#REF!</v>
      </c>
      <c r="GD10" t="e">
        <f>IF(#REF!,"AAAAAEWvvrk=",0)</f>
        <v>#REF!</v>
      </c>
      <c r="GE10" t="e">
        <f>AND(#REF!,"AAAAAEWvvro=")</f>
        <v>#REF!</v>
      </c>
      <c r="GF10" t="e">
        <f>AND(#REF!,"AAAAAEWvvrs=")</f>
        <v>#REF!</v>
      </c>
      <c r="GG10" t="e">
        <f>AND(#REF!,"AAAAAEWvvrw=")</f>
        <v>#REF!</v>
      </c>
      <c r="GH10" t="e">
        <f>AND(#REF!,"AAAAAEWvvr0=")</f>
        <v>#REF!</v>
      </c>
      <c r="GI10" t="e">
        <f>AND(#REF!,"AAAAAEWvvr4=")</f>
        <v>#REF!</v>
      </c>
      <c r="GJ10" t="e">
        <f>AND(#REF!,"AAAAAEWvvr8=")</f>
        <v>#REF!</v>
      </c>
      <c r="GK10" t="e">
        <f>AND(#REF!,"AAAAAEWvvsA=")</f>
        <v>#REF!</v>
      </c>
      <c r="GL10" t="e">
        <f>AND(#REF!,"AAAAAEWvvsE=")</f>
        <v>#REF!</v>
      </c>
      <c r="GM10" t="e">
        <f>AND(#REF!,"AAAAAEWvvsI=")</f>
        <v>#REF!</v>
      </c>
      <c r="GN10" t="e">
        <f>AND(#REF!,"AAAAAEWvvsM=")</f>
        <v>#REF!</v>
      </c>
      <c r="GO10" t="e">
        <f>AND(#REF!,"AAAAAEWvvsQ=")</f>
        <v>#REF!</v>
      </c>
      <c r="GP10" t="e">
        <f>AND(#REF!,"AAAAAEWvvsU=")</f>
        <v>#REF!</v>
      </c>
      <c r="GQ10" t="e">
        <f>AND(#REF!,"AAAAAEWvvsY=")</f>
        <v>#REF!</v>
      </c>
      <c r="GR10" t="e">
        <f>AND(#REF!,"AAAAAEWvvsc=")</f>
        <v>#REF!</v>
      </c>
      <c r="GS10" t="e">
        <f>AND(#REF!,"AAAAAEWvvsg=")</f>
        <v>#REF!</v>
      </c>
      <c r="GT10" t="e">
        <f>IF(#REF!,"AAAAAEWvvsk=",0)</f>
        <v>#REF!</v>
      </c>
      <c r="GU10" t="e">
        <f>AND(#REF!,"AAAAAEWvvso=")</f>
        <v>#REF!</v>
      </c>
      <c r="GV10" t="e">
        <f>AND(#REF!,"AAAAAEWvvss=")</f>
        <v>#REF!</v>
      </c>
      <c r="GW10" t="e">
        <f>AND(#REF!,"AAAAAEWvvsw=")</f>
        <v>#REF!</v>
      </c>
      <c r="GX10" t="e">
        <f>AND(#REF!,"AAAAAEWvvs0=")</f>
        <v>#REF!</v>
      </c>
      <c r="GY10" t="e">
        <f>AND(#REF!,"AAAAAEWvvs4=")</f>
        <v>#REF!</v>
      </c>
      <c r="GZ10" t="e">
        <f>AND(#REF!,"AAAAAEWvvs8=")</f>
        <v>#REF!</v>
      </c>
      <c r="HA10" t="e">
        <f>AND(#REF!,"AAAAAEWvvtA=")</f>
        <v>#REF!</v>
      </c>
      <c r="HB10" t="e">
        <f>AND(#REF!,"AAAAAEWvvtE=")</f>
        <v>#REF!</v>
      </c>
      <c r="HC10" t="e">
        <f>AND(#REF!,"AAAAAEWvvtI=")</f>
        <v>#REF!</v>
      </c>
      <c r="HD10" t="e">
        <f>AND(#REF!,"AAAAAEWvvtM=")</f>
        <v>#REF!</v>
      </c>
      <c r="HE10" t="e">
        <f>AND(#REF!,"AAAAAEWvvtQ=")</f>
        <v>#REF!</v>
      </c>
      <c r="HF10" t="e">
        <f>AND(#REF!,"AAAAAEWvvtU=")</f>
        <v>#REF!</v>
      </c>
      <c r="HG10" t="e">
        <f>AND(#REF!,"AAAAAEWvvtY=")</f>
        <v>#REF!</v>
      </c>
      <c r="HH10" t="e">
        <f>AND(#REF!,"AAAAAEWvvtc=")</f>
        <v>#REF!</v>
      </c>
      <c r="HI10" t="e">
        <f>AND(#REF!,"AAAAAEWvvtg=")</f>
        <v>#REF!</v>
      </c>
      <c r="HJ10" t="e">
        <f>IF(#REF!,"AAAAAEWvvtk=",0)</f>
        <v>#REF!</v>
      </c>
      <c r="HK10" t="e">
        <f>AND(#REF!,"AAAAAEWvvto=")</f>
        <v>#REF!</v>
      </c>
      <c r="HL10" t="e">
        <f>AND(#REF!,"AAAAAEWvvts=")</f>
        <v>#REF!</v>
      </c>
      <c r="HM10" t="e">
        <f>AND(#REF!,"AAAAAEWvvtw=")</f>
        <v>#REF!</v>
      </c>
      <c r="HN10" t="e">
        <f>AND(#REF!,"AAAAAEWvvt0=")</f>
        <v>#REF!</v>
      </c>
      <c r="HO10" t="e">
        <f>AND(#REF!,"AAAAAEWvvt4=")</f>
        <v>#REF!</v>
      </c>
      <c r="HP10" t="e">
        <f>AND(#REF!,"AAAAAEWvvt8=")</f>
        <v>#REF!</v>
      </c>
      <c r="HQ10" t="e">
        <f>AND(#REF!,"AAAAAEWvvuA=")</f>
        <v>#REF!</v>
      </c>
      <c r="HR10" t="e">
        <f>AND(#REF!,"AAAAAEWvvuE=")</f>
        <v>#REF!</v>
      </c>
      <c r="HS10" t="e">
        <f>AND(#REF!,"AAAAAEWvvuI=")</f>
        <v>#REF!</v>
      </c>
      <c r="HT10" t="e">
        <f>AND(#REF!,"AAAAAEWvvuM=")</f>
        <v>#REF!</v>
      </c>
      <c r="HU10" t="e">
        <f>AND(#REF!,"AAAAAEWvvuQ=")</f>
        <v>#REF!</v>
      </c>
      <c r="HV10" t="e">
        <f>AND(#REF!,"AAAAAEWvvuU=")</f>
        <v>#REF!</v>
      </c>
      <c r="HW10" t="e">
        <f>AND(#REF!,"AAAAAEWvvuY=")</f>
        <v>#REF!</v>
      </c>
      <c r="HX10" t="e">
        <f>AND(#REF!,"AAAAAEWvvuc=")</f>
        <v>#REF!</v>
      </c>
      <c r="HY10" t="e">
        <f>AND(#REF!,"AAAAAEWvvug=")</f>
        <v>#REF!</v>
      </c>
      <c r="HZ10" t="e">
        <f>IF(#REF!,"AAAAAEWvvuk=",0)</f>
        <v>#REF!</v>
      </c>
      <c r="IA10" t="e">
        <f>AND(#REF!,"AAAAAEWvvuo=")</f>
        <v>#REF!</v>
      </c>
      <c r="IB10" t="e">
        <f>AND(#REF!,"AAAAAEWvvus=")</f>
        <v>#REF!</v>
      </c>
      <c r="IC10" t="e">
        <f>AND(#REF!,"AAAAAEWvvuw=")</f>
        <v>#REF!</v>
      </c>
      <c r="ID10" t="e">
        <f>AND(#REF!,"AAAAAEWvvu0=")</f>
        <v>#REF!</v>
      </c>
      <c r="IE10" t="e">
        <f>AND(#REF!,"AAAAAEWvvu4=")</f>
        <v>#REF!</v>
      </c>
      <c r="IF10" t="e">
        <f>AND(#REF!,"AAAAAEWvvu8=")</f>
        <v>#REF!</v>
      </c>
      <c r="IG10" t="e">
        <f>AND(#REF!,"AAAAAEWvvvA=")</f>
        <v>#REF!</v>
      </c>
      <c r="IH10" t="e">
        <f>AND(#REF!,"AAAAAEWvvvE=")</f>
        <v>#REF!</v>
      </c>
      <c r="II10" t="e">
        <f>AND(#REF!,"AAAAAEWvvvI=")</f>
        <v>#REF!</v>
      </c>
      <c r="IJ10" t="e">
        <f>AND(#REF!,"AAAAAEWvvvM=")</f>
        <v>#REF!</v>
      </c>
      <c r="IK10" t="e">
        <f>AND(#REF!,"AAAAAEWvvvQ=")</f>
        <v>#REF!</v>
      </c>
      <c r="IL10" t="e">
        <f>AND(#REF!,"AAAAAEWvvvU=")</f>
        <v>#REF!</v>
      </c>
      <c r="IM10" t="e">
        <f>AND(#REF!,"AAAAAEWvvvY=")</f>
        <v>#REF!</v>
      </c>
      <c r="IN10" t="e">
        <f>AND(#REF!,"AAAAAEWvvvc=")</f>
        <v>#REF!</v>
      </c>
      <c r="IO10" t="e">
        <f>AND(#REF!,"AAAAAEWvvvg=")</f>
        <v>#REF!</v>
      </c>
      <c r="IP10" t="e">
        <f>IF(#REF!,"AAAAAEWvvvk=",0)</f>
        <v>#REF!</v>
      </c>
      <c r="IQ10" t="e">
        <f>AND(#REF!,"AAAAAEWvvvo=")</f>
        <v>#REF!</v>
      </c>
      <c r="IR10" t="e">
        <f>AND(#REF!,"AAAAAEWvvvs=")</f>
        <v>#REF!</v>
      </c>
      <c r="IS10" t="e">
        <f>AND(#REF!,"AAAAAEWvvvw=")</f>
        <v>#REF!</v>
      </c>
      <c r="IT10" t="e">
        <f>AND(#REF!,"AAAAAEWvvv0=")</f>
        <v>#REF!</v>
      </c>
      <c r="IU10" t="e">
        <f>AND(#REF!,"AAAAAEWvvv4=")</f>
        <v>#REF!</v>
      </c>
      <c r="IV10" t="e">
        <f>AND(#REF!,"AAAAAEWvvv8=")</f>
        <v>#REF!</v>
      </c>
    </row>
    <row r="11" spans="1:256">
      <c r="A11" t="e">
        <f>AND(#REF!,"AAAAAHp65QA=")</f>
        <v>#REF!</v>
      </c>
      <c r="B11" t="e">
        <f>AND(#REF!,"AAAAAHp65QE=")</f>
        <v>#REF!</v>
      </c>
      <c r="C11" t="e">
        <f>AND(#REF!,"AAAAAHp65QI=")</f>
        <v>#REF!</v>
      </c>
      <c r="D11" t="e">
        <f>AND(#REF!,"AAAAAHp65QM=")</f>
        <v>#REF!</v>
      </c>
      <c r="E11" t="e">
        <f>AND(#REF!,"AAAAAHp65QQ=")</f>
        <v>#REF!</v>
      </c>
      <c r="F11" t="e">
        <f>AND(#REF!,"AAAAAHp65QU=")</f>
        <v>#REF!</v>
      </c>
      <c r="G11" t="e">
        <f>AND(#REF!,"AAAAAHp65QY=")</f>
        <v>#REF!</v>
      </c>
      <c r="H11" t="e">
        <f>AND(#REF!,"AAAAAHp65Qc=")</f>
        <v>#REF!</v>
      </c>
      <c r="I11" t="e">
        <f>AND(#REF!,"AAAAAHp65Qg=")</f>
        <v>#REF!</v>
      </c>
      <c r="J11" t="e">
        <f>IF(#REF!,"AAAAAHp65Qk=",0)</f>
        <v>#REF!</v>
      </c>
      <c r="K11" t="e">
        <f>AND(#REF!,"AAAAAHp65Qo=")</f>
        <v>#REF!</v>
      </c>
      <c r="L11" t="e">
        <f>AND(#REF!,"AAAAAHp65Qs=")</f>
        <v>#REF!</v>
      </c>
      <c r="M11" t="e">
        <f>AND(#REF!,"AAAAAHp65Qw=")</f>
        <v>#REF!</v>
      </c>
      <c r="N11" t="e">
        <f>AND(#REF!,"AAAAAHp65Q0=")</f>
        <v>#REF!</v>
      </c>
      <c r="O11" t="e">
        <f>AND(#REF!,"AAAAAHp65Q4=")</f>
        <v>#REF!</v>
      </c>
      <c r="P11" t="e">
        <f>AND(#REF!,"AAAAAHp65Q8=")</f>
        <v>#REF!</v>
      </c>
      <c r="Q11" t="e">
        <f>AND(#REF!,"AAAAAHp65RA=")</f>
        <v>#REF!</v>
      </c>
      <c r="R11" t="e">
        <f>AND(#REF!,"AAAAAHp65RE=")</f>
        <v>#REF!</v>
      </c>
      <c r="S11" t="e">
        <f>AND(#REF!,"AAAAAHp65RI=")</f>
        <v>#REF!</v>
      </c>
      <c r="T11" t="e">
        <f>AND(#REF!,"AAAAAHp65RM=")</f>
        <v>#REF!</v>
      </c>
      <c r="U11" t="e">
        <f>AND(#REF!,"AAAAAHp65RQ=")</f>
        <v>#REF!</v>
      </c>
      <c r="V11" t="e">
        <f>AND(#REF!,"AAAAAHp65RU=")</f>
        <v>#REF!</v>
      </c>
      <c r="W11" t="e">
        <f>AND(#REF!,"AAAAAHp65RY=")</f>
        <v>#REF!</v>
      </c>
      <c r="X11" t="e">
        <f>AND(#REF!,"AAAAAHp65Rc=")</f>
        <v>#REF!</v>
      </c>
      <c r="Y11" t="e">
        <f>AND(#REF!,"AAAAAHp65Rg=")</f>
        <v>#REF!</v>
      </c>
      <c r="Z11" t="e">
        <f>IF(#REF!,"AAAAAHp65Rk=",0)</f>
        <v>#REF!</v>
      </c>
      <c r="AA11" t="e">
        <f>AND(#REF!,"AAAAAHp65Ro=")</f>
        <v>#REF!</v>
      </c>
      <c r="AB11" t="e">
        <f>AND(#REF!,"AAAAAHp65Rs=")</f>
        <v>#REF!</v>
      </c>
      <c r="AC11" t="e">
        <f>AND(#REF!,"AAAAAHp65Rw=")</f>
        <v>#REF!</v>
      </c>
      <c r="AD11" t="e">
        <f>AND(#REF!,"AAAAAHp65R0=")</f>
        <v>#REF!</v>
      </c>
      <c r="AE11" t="e">
        <f>AND(#REF!,"AAAAAHp65R4=")</f>
        <v>#REF!</v>
      </c>
      <c r="AF11" t="e">
        <f>AND(#REF!,"AAAAAHp65R8=")</f>
        <v>#REF!</v>
      </c>
      <c r="AG11" t="e">
        <f>AND(#REF!,"AAAAAHp65SA=")</f>
        <v>#REF!</v>
      </c>
      <c r="AH11" t="e">
        <f>AND(#REF!,"AAAAAHp65SE=")</f>
        <v>#REF!</v>
      </c>
      <c r="AI11" t="e">
        <f>AND(#REF!,"AAAAAHp65SI=")</f>
        <v>#REF!</v>
      </c>
      <c r="AJ11" t="e">
        <f>AND(#REF!,"AAAAAHp65SM=")</f>
        <v>#REF!</v>
      </c>
      <c r="AK11" t="e">
        <f>AND(#REF!,"AAAAAHp65SQ=")</f>
        <v>#REF!</v>
      </c>
      <c r="AL11" t="e">
        <f>AND(#REF!,"AAAAAHp65SU=")</f>
        <v>#REF!</v>
      </c>
      <c r="AM11" t="e">
        <f>AND(#REF!,"AAAAAHp65SY=")</f>
        <v>#REF!</v>
      </c>
      <c r="AN11" t="e">
        <f>AND(#REF!,"AAAAAHp65Sc=")</f>
        <v>#REF!</v>
      </c>
      <c r="AO11" t="e">
        <f>AND(#REF!,"AAAAAHp65Sg=")</f>
        <v>#REF!</v>
      </c>
      <c r="AP11" t="e">
        <f>IF(#REF!,"AAAAAHp65Sk=",0)</f>
        <v>#REF!</v>
      </c>
      <c r="AQ11" t="e">
        <f>AND(#REF!,"AAAAAHp65So=")</f>
        <v>#REF!</v>
      </c>
      <c r="AR11" t="e">
        <f>AND(#REF!,"AAAAAHp65Ss=")</f>
        <v>#REF!</v>
      </c>
      <c r="AS11" t="e">
        <f>AND(#REF!,"AAAAAHp65Sw=")</f>
        <v>#REF!</v>
      </c>
      <c r="AT11" t="e">
        <f>AND(#REF!,"AAAAAHp65S0=")</f>
        <v>#REF!</v>
      </c>
      <c r="AU11" t="e">
        <f>AND(#REF!,"AAAAAHp65S4=")</f>
        <v>#REF!</v>
      </c>
      <c r="AV11" t="e">
        <f>AND(#REF!,"AAAAAHp65S8=")</f>
        <v>#REF!</v>
      </c>
      <c r="AW11" t="e">
        <f>AND(#REF!,"AAAAAHp65TA=")</f>
        <v>#REF!</v>
      </c>
      <c r="AX11" t="e">
        <f>AND(#REF!,"AAAAAHp65TE=")</f>
        <v>#REF!</v>
      </c>
      <c r="AY11" t="e">
        <f>AND(#REF!,"AAAAAHp65TI=")</f>
        <v>#REF!</v>
      </c>
      <c r="AZ11" t="e">
        <f>AND(#REF!,"AAAAAHp65TM=")</f>
        <v>#REF!</v>
      </c>
      <c r="BA11" t="e">
        <f>AND(#REF!,"AAAAAHp65TQ=")</f>
        <v>#REF!</v>
      </c>
      <c r="BB11" t="e">
        <f>AND(#REF!,"AAAAAHp65TU=")</f>
        <v>#REF!</v>
      </c>
      <c r="BC11" t="e">
        <f>AND(#REF!,"AAAAAHp65TY=")</f>
        <v>#REF!</v>
      </c>
      <c r="BD11" t="e">
        <f>AND(#REF!,"AAAAAHp65Tc=")</f>
        <v>#REF!</v>
      </c>
      <c r="BE11" t="e">
        <f>AND(#REF!,"AAAAAHp65Tg=")</f>
        <v>#REF!</v>
      </c>
      <c r="BF11" t="e">
        <f>IF(#REF!,"AAAAAHp65Tk=",0)</f>
        <v>#REF!</v>
      </c>
      <c r="BG11" t="e">
        <f>AND(#REF!,"AAAAAHp65To=")</f>
        <v>#REF!</v>
      </c>
      <c r="BH11" t="e">
        <f>AND(#REF!,"AAAAAHp65Ts=")</f>
        <v>#REF!</v>
      </c>
      <c r="BI11" t="e">
        <f>AND(#REF!,"AAAAAHp65Tw=")</f>
        <v>#REF!</v>
      </c>
      <c r="BJ11" t="e">
        <f>AND(#REF!,"AAAAAHp65T0=")</f>
        <v>#REF!</v>
      </c>
      <c r="BK11" t="e">
        <f>AND(#REF!,"AAAAAHp65T4=")</f>
        <v>#REF!</v>
      </c>
      <c r="BL11" t="e">
        <f>AND(#REF!,"AAAAAHp65T8=")</f>
        <v>#REF!</v>
      </c>
      <c r="BM11" t="e">
        <f>AND(#REF!,"AAAAAHp65UA=")</f>
        <v>#REF!</v>
      </c>
      <c r="BN11" t="e">
        <f>AND(#REF!,"AAAAAHp65UE=")</f>
        <v>#REF!</v>
      </c>
      <c r="BO11" t="e">
        <f>AND(#REF!,"AAAAAHp65UI=")</f>
        <v>#REF!</v>
      </c>
      <c r="BP11" t="e">
        <f>AND(#REF!,"AAAAAHp65UM=")</f>
        <v>#REF!</v>
      </c>
      <c r="BQ11" t="e">
        <f>AND(#REF!,"AAAAAHp65UQ=")</f>
        <v>#REF!</v>
      </c>
      <c r="BR11" t="e">
        <f>AND(#REF!,"AAAAAHp65UU=")</f>
        <v>#REF!</v>
      </c>
      <c r="BS11" t="e">
        <f>AND(#REF!,"AAAAAHp65UY=")</f>
        <v>#REF!</v>
      </c>
      <c r="BT11" t="e">
        <f>AND(#REF!,"AAAAAHp65Uc=")</f>
        <v>#REF!</v>
      </c>
      <c r="BU11" t="e">
        <f>AND(#REF!,"AAAAAHp65Ug=")</f>
        <v>#REF!</v>
      </c>
      <c r="BV11" t="e">
        <f>IF(#REF!,"AAAAAHp65Uk=",0)</f>
        <v>#REF!</v>
      </c>
      <c r="BW11" t="e">
        <f>AND(#REF!,"AAAAAHp65Uo=")</f>
        <v>#REF!</v>
      </c>
      <c r="BX11" t="e">
        <f>AND(#REF!,"AAAAAHp65Us=")</f>
        <v>#REF!</v>
      </c>
      <c r="BY11" t="e">
        <f>AND(#REF!,"AAAAAHp65Uw=")</f>
        <v>#REF!</v>
      </c>
      <c r="BZ11" t="e">
        <f>AND(#REF!,"AAAAAHp65U0=")</f>
        <v>#REF!</v>
      </c>
      <c r="CA11" t="e">
        <f>AND(#REF!,"AAAAAHp65U4=")</f>
        <v>#REF!</v>
      </c>
      <c r="CB11" t="e">
        <f>AND(#REF!,"AAAAAHp65U8=")</f>
        <v>#REF!</v>
      </c>
      <c r="CC11" t="e">
        <f>AND(#REF!,"AAAAAHp65VA=")</f>
        <v>#REF!</v>
      </c>
      <c r="CD11" t="e">
        <f>AND(#REF!,"AAAAAHp65VE=")</f>
        <v>#REF!</v>
      </c>
      <c r="CE11" t="e">
        <f>AND(#REF!,"AAAAAHp65VI=")</f>
        <v>#REF!</v>
      </c>
      <c r="CF11" t="e">
        <f>AND(#REF!,"AAAAAHp65VM=")</f>
        <v>#REF!</v>
      </c>
      <c r="CG11" t="e">
        <f>AND(#REF!,"AAAAAHp65VQ=")</f>
        <v>#REF!</v>
      </c>
      <c r="CH11" t="e">
        <f>AND(#REF!,"AAAAAHp65VU=")</f>
        <v>#REF!</v>
      </c>
      <c r="CI11" t="e">
        <f>AND(#REF!,"AAAAAHp65VY=")</f>
        <v>#REF!</v>
      </c>
      <c r="CJ11" t="e">
        <f>AND(#REF!,"AAAAAHp65Vc=")</f>
        <v>#REF!</v>
      </c>
      <c r="CK11" t="e">
        <f>AND(#REF!,"AAAAAHp65Vg=")</f>
        <v>#REF!</v>
      </c>
      <c r="CL11" t="e">
        <f>IF(#REF!,"AAAAAHp65Vk=",0)</f>
        <v>#REF!</v>
      </c>
      <c r="CM11" t="e">
        <f>AND(#REF!,"AAAAAHp65Vo=")</f>
        <v>#REF!</v>
      </c>
      <c r="CN11" t="e">
        <f>AND(#REF!,"AAAAAHp65Vs=")</f>
        <v>#REF!</v>
      </c>
      <c r="CO11" t="e">
        <f>AND(#REF!,"AAAAAHp65Vw=")</f>
        <v>#REF!</v>
      </c>
      <c r="CP11" t="e">
        <f>AND(#REF!,"AAAAAHp65V0=")</f>
        <v>#REF!</v>
      </c>
      <c r="CQ11" t="e">
        <f>AND(#REF!,"AAAAAHp65V4=")</f>
        <v>#REF!</v>
      </c>
      <c r="CR11" t="e">
        <f>AND(#REF!,"AAAAAHp65V8=")</f>
        <v>#REF!</v>
      </c>
      <c r="CS11" t="e">
        <f>AND(#REF!,"AAAAAHp65WA=")</f>
        <v>#REF!</v>
      </c>
      <c r="CT11" t="e">
        <f>AND(#REF!,"AAAAAHp65WE=")</f>
        <v>#REF!</v>
      </c>
      <c r="CU11" t="e">
        <f>AND(#REF!,"AAAAAHp65WI=")</f>
        <v>#REF!</v>
      </c>
      <c r="CV11" t="e">
        <f>AND(#REF!,"AAAAAHp65WM=")</f>
        <v>#REF!</v>
      </c>
      <c r="CW11" t="e">
        <f>AND(#REF!,"AAAAAHp65WQ=")</f>
        <v>#REF!</v>
      </c>
      <c r="CX11" t="e">
        <f>AND(#REF!,"AAAAAHp65WU=")</f>
        <v>#REF!</v>
      </c>
      <c r="CY11" t="e">
        <f>AND(#REF!,"AAAAAHp65WY=")</f>
        <v>#REF!</v>
      </c>
      <c r="CZ11" t="e">
        <f>AND(#REF!,"AAAAAHp65Wc=")</f>
        <v>#REF!</v>
      </c>
      <c r="DA11" t="e">
        <f>AND(#REF!,"AAAAAHp65Wg=")</f>
        <v>#REF!</v>
      </c>
      <c r="DB11" t="e">
        <f>IF(#REF!,"AAAAAHp65Wk=",0)</f>
        <v>#REF!</v>
      </c>
      <c r="DC11" t="e">
        <f>AND(#REF!,"AAAAAHp65Wo=")</f>
        <v>#REF!</v>
      </c>
      <c r="DD11" t="e">
        <f>AND(#REF!,"AAAAAHp65Ws=")</f>
        <v>#REF!</v>
      </c>
      <c r="DE11" t="e">
        <f>AND(#REF!,"AAAAAHp65Ww=")</f>
        <v>#REF!</v>
      </c>
      <c r="DF11" t="e">
        <f>AND(#REF!,"AAAAAHp65W0=")</f>
        <v>#REF!</v>
      </c>
      <c r="DG11" t="e">
        <f>AND(#REF!,"AAAAAHp65W4=")</f>
        <v>#REF!</v>
      </c>
      <c r="DH11" t="e">
        <f>AND(#REF!,"AAAAAHp65W8=")</f>
        <v>#REF!</v>
      </c>
      <c r="DI11" t="e">
        <f>AND(#REF!,"AAAAAHp65XA=")</f>
        <v>#REF!</v>
      </c>
      <c r="DJ11" t="e">
        <f>AND(#REF!,"AAAAAHp65XE=")</f>
        <v>#REF!</v>
      </c>
      <c r="DK11" t="e">
        <f>AND(#REF!,"AAAAAHp65XI=")</f>
        <v>#REF!</v>
      </c>
      <c r="DL11" t="e">
        <f>AND(#REF!,"AAAAAHp65XM=")</f>
        <v>#REF!</v>
      </c>
      <c r="DM11" t="e">
        <f>AND(#REF!,"AAAAAHp65XQ=")</f>
        <v>#REF!</v>
      </c>
      <c r="DN11" t="e">
        <f>AND(#REF!,"AAAAAHp65XU=")</f>
        <v>#REF!</v>
      </c>
      <c r="DO11" t="e">
        <f>AND(#REF!,"AAAAAHp65XY=")</f>
        <v>#REF!</v>
      </c>
      <c r="DP11" t="e">
        <f>AND(#REF!,"AAAAAHp65Xc=")</f>
        <v>#REF!</v>
      </c>
      <c r="DQ11" t="e">
        <f>AND(#REF!,"AAAAAHp65Xg=")</f>
        <v>#REF!</v>
      </c>
      <c r="DR11" t="e">
        <f>IF(#REF!,"AAAAAHp65Xk=",0)</f>
        <v>#REF!</v>
      </c>
      <c r="DS11" t="e">
        <f>AND(#REF!,"AAAAAHp65Xo=")</f>
        <v>#REF!</v>
      </c>
      <c r="DT11" t="e">
        <f>AND(#REF!,"AAAAAHp65Xs=")</f>
        <v>#REF!</v>
      </c>
      <c r="DU11" t="e">
        <f>AND(#REF!,"AAAAAHp65Xw=")</f>
        <v>#REF!</v>
      </c>
      <c r="DV11" t="e">
        <f>AND(#REF!,"AAAAAHp65X0=")</f>
        <v>#REF!</v>
      </c>
      <c r="DW11" t="e">
        <f>AND(#REF!,"AAAAAHp65X4=")</f>
        <v>#REF!</v>
      </c>
      <c r="DX11" t="e">
        <f>AND(#REF!,"AAAAAHp65X8=")</f>
        <v>#REF!</v>
      </c>
      <c r="DY11" t="e">
        <f>AND(#REF!,"AAAAAHp65YA=")</f>
        <v>#REF!</v>
      </c>
      <c r="DZ11" t="e">
        <f>AND(#REF!,"AAAAAHp65YE=")</f>
        <v>#REF!</v>
      </c>
      <c r="EA11" t="e">
        <f>AND(#REF!,"AAAAAHp65YI=")</f>
        <v>#REF!</v>
      </c>
      <c r="EB11" t="e">
        <f>AND(#REF!,"AAAAAHp65YM=")</f>
        <v>#REF!</v>
      </c>
      <c r="EC11" t="e">
        <f>AND(#REF!,"AAAAAHp65YQ=")</f>
        <v>#REF!</v>
      </c>
      <c r="ED11" t="e">
        <f>AND(#REF!,"AAAAAHp65YU=")</f>
        <v>#REF!</v>
      </c>
      <c r="EE11" t="e">
        <f>AND(#REF!,"AAAAAHp65YY=")</f>
        <v>#REF!</v>
      </c>
      <c r="EF11" t="e">
        <f>AND(#REF!,"AAAAAHp65Yc=")</f>
        <v>#REF!</v>
      </c>
      <c r="EG11" t="e">
        <f>AND(#REF!,"AAAAAHp65Yg=")</f>
        <v>#REF!</v>
      </c>
      <c r="EH11" t="e">
        <f>IF(#REF!,"AAAAAHp65Yk=",0)</f>
        <v>#REF!</v>
      </c>
      <c r="EI11" t="e">
        <f>AND(#REF!,"AAAAAHp65Yo=")</f>
        <v>#REF!</v>
      </c>
      <c r="EJ11" t="e">
        <f>AND(#REF!,"AAAAAHp65Ys=")</f>
        <v>#REF!</v>
      </c>
      <c r="EK11" t="e">
        <f>AND(#REF!,"AAAAAHp65Yw=")</f>
        <v>#REF!</v>
      </c>
      <c r="EL11" t="e">
        <f>AND(#REF!,"AAAAAHp65Y0=")</f>
        <v>#REF!</v>
      </c>
      <c r="EM11" t="e">
        <f>AND(#REF!,"AAAAAHp65Y4=")</f>
        <v>#REF!</v>
      </c>
      <c r="EN11" t="e">
        <f>AND(#REF!,"AAAAAHp65Y8=")</f>
        <v>#REF!</v>
      </c>
      <c r="EO11" t="e">
        <f>AND(#REF!,"AAAAAHp65ZA=")</f>
        <v>#REF!</v>
      </c>
      <c r="EP11" t="e">
        <f>AND(#REF!,"AAAAAHp65ZE=")</f>
        <v>#REF!</v>
      </c>
      <c r="EQ11" t="e">
        <f>AND(#REF!,"AAAAAHp65ZI=")</f>
        <v>#REF!</v>
      </c>
      <c r="ER11" t="e">
        <f>AND(#REF!,"AAAAAHp65ZM=")</f>
        <v>#REF!</v>
      </c>
      <c r="ES11" t="e">
        <f>AND(#REF!,"AAAAAHp65ZQ=")</f>
        <v>#REF!</v>
      </c>
      <c r="ET11" t="e">
        <f>AND(#REF!,"AAAAAHp65ZU=")</f>
        <v>#REF!</v>
      </c>
      <c r="EU11" t="e">
        <f>AND(#REF!,"AAAAAHp65ZY=")</f>
        <v>#REF!</v>
      </c>
      <c r="EV11" t="e">
        <f>AND(#REF!,"AAAAAHp65Zc=")</f>
        <v>#REF!</v>
      </c>
      <c r="EW11" t="e">
        <f>AND(#REF!,"AAAAAHp65Zg=")</f>
        <v>#REF!</v>
      </c>
      <c r="EX11" t="e">
        <f>IF(#REF!,"AAAAAHp65Zk=",0)</f>
        <v>#REF!</v>
      </c>
      <c r="EY11" t="e">
        <f>AND(#REF!,"AAAAAHp65Zo=")</f>
        <v>#REF!</v>
      </c>
      <c r="EZ11" t="e">
        <f>AND(#REF!,"AAAAAHp65Zs=")</f>
        <v>#REF!</v>
      </c>
      <c r="FA11" t="e">
        <f>AND(#REF!,"AAAAAHp65Zw=")</f>
        <v>#REF!</v>
      </c>
      <c r="FB11" t="e">
        <f>AND(#REF!,"AAAAAHp65Z0=")</f>
        <v>#REF!</v>
      </c>
      <c r="FC11" t="e">
        <f>AND(#REF!,"AAAAAHp65Z4=")</f>
        <v>#REF!</v>
      </c>
      <c r="FD11" t="e">
        <f>AND(#REF!,"AAAAAHp65Z8=")</f>
        <v>#REF!</v>
      </c>
      <c r="FE11" t="e">
        <f>AND(#REF!,"AAAAAHp65aA=")</f>
        <v>#REF!</v>
      </c>
      <c r="FF11" t="e">
        <f>AND(#REF!,"AAAAAHp65aE=")</f>
        <v>#REF!</v>
      </c>
      <c r="FG11" t="e">
        <f>AND(#REF!,"AAAAAHp65aI=")</f>
        <v>#REF!</v>
      </c>
      <c r="FH11" t="e">
        <f>AND(#REF!,"AAAAAHp65aM=")</f>
        <v>#REF!</v>
      </c>
      <c r="FI11" t="e">
        <f>AND(#REF!,"AAAAAHp65aQ=")</f>
        <v>#REF!</v>
      </c>
      <c r="FJ11" t="e">
        <f>AND(#REF!,"AAAAAHp65aU=")</f>
        <v>#REF!</v>
      </c>
      <c r="FK11" t="e">
        <f>AND(#REF!,"AAAAAHp65aY=")</f>
        <v>#REF!</v>
      </c>
      <c r="FL11" t="e">
        <f>AND(#REF!,"AAAAAHp65ac=")</f>
        <v>#REF!</v>
      </c>
      <c r="FM11" t="e">
        <f>AND(#REF!,"AAAAAHp65ag=")</f>
        <v>#REF!</v>
      </c>
      <c r="FN11" t="e">
        <f>IF(#REF!,"AAAAAHp65ak=",0)</f>
        <v>#REF!</v>
      </c>
      <c r="FO11" t="e">
        <f>AND(#REF!,"AAAAAHp65ao=")</f>
        <v>#REF!</v>
      </c>
      <c r="FP11" t="e">
        <f>AND(#REF!,"AAAAAHp65as=")</f>
        <v>#REF!</v>
      </c>
      <c r="FQ11" t="e">
        <f>AND(#REF!,"AAAAAHp65aw=")</f>
        <v>#REF!</v>
      </c>
      <c r="FR11" t="e">
        <f>AND(#REF!,"AAAAAHp65a0=")</f>
        <v>#REF!</v>
      </c>
      <c r="FS11" t="e">
        <f>AND(#REF!,"AAAAAHp65a4=")</f>
        <v>#REF!</v>
      </c>
      <c r="FT11" t="e">
        <f>AND(#REF!,"AAAAAHp65a8=")</f>
        <v>#REF!</v>
      </c>
      <c r="FU11" t="e">
        <f>AND(#REF!,"AAAAAHp65bA=")</f>
        <v>#REF!</v>
      </c>
      <c r="FV11" t="e">
        <f>AND(#REF!,"AAAAAHp65bE=")</f>
        <v>#REF!</v>
      </c>
      <c r="FW11" t="e">
        <f>AND(#REF!,"AAAAAHp65bI=")</f>
        <v>#REF!</v>
      </c>
      <c r="FX11" t="e">
        <f>AND(#REF!,"AAAAAHp65bM=")</f>
        <v>#REF!</v>
      </c>
      <c r="FY11" t="e">
        <f>AND(#REF!,"AAAAAHp65bQ=")</f>
        <v>#REF!</v>
      </c>
      <c r="FZ11" t="e">
        <f>AND(#REF!,"AAAAAHp65bU=")</f>
        <v>#REF!</v>
      </c>
      <c r="GA11" t="e">
        <f>AND(#REF!,"AAAAAHp65bY=")</f>
        <v>#REF!</v>
      </c>
      <c r="GB11" t="e">
        <f>AND(#REF!,"AAAAAHp65bc=")</f>
        <v>#REF!</v>
      </c>
      <c r="GC11" t="e">
        <f>AND(#REF!,"AAAAAHp65bg=")</f>
        <v>#REF!</v>
      </c>
      <c r="GD11" t="e">
        <f>IF(#REF!,"AAAAAHp65bk=",0)</f>
        <v>#REF!</v>
      </c>
      <c r="GE11" t="e">
        <f>AND(#REF!,"AAAAAHp65bo=")</f>
        <v>#REF!</v>
      </c>
      <c r="GF11" t="e">
        <f>AND(#REF!,"AAAAAHp65bs=")</f>
        <v>#REF!</v>
      </c>
      <c r="GG11" t="e">
        <f>AND(#REF!,"AAAAAHp65bw=")</f>
        <v>#REF!</v>
      </c>
      <c r="GH11" t="e">
        <f>AND(#REF!,"AAAAAHp65b0=")</f>
        <v>#REF!</v>
      </c>
      <c r="GI11" t="e">
        <f>AND(#REF!,"AAAAAHp65b4=")</f>
        <v>#REF!</v>
      </c>
      <c r="GJ11" t="e">
        <f>AND(#REF!,"AAAAAHp65b8=")</f>
        <v>#REF!</v>
      </c>
      <c r="GK11" t="e">
        <f>AND(#REF!,"AAAAAHp65cA=")</f>
        <v>#REF!</v>
      </c>
      <c r="GL11" t="e">
        <f>AND(#REF!,"AAAAAHp65cE=")</f>
        <v>#REF!</v>
      </c>
      <c r="GM11" t="e">
        <f>AND(#REF!,"AAAAAHp65cI=")</f>
        <v>#REF!</v>
      </c>
      <c r="GN11" t="e">
        <f>AND(#REF!,"AAAAAHp65cM=")</f>
        <v>#REF!</v>
      </c>
      <c r="GO11" t="e">
        <f>AND(#REF!,"AAAAAHp65cQ=")</f>
        <v>#REF!</v>
      </c>
      <c r="GP11" t="e">
        <f>AND(#REF!,"AAAAAHp65cU=")</f>
        <v>#REF!</v>
      </c>
      <c r="GQ11" t="e">
        <f>AND(#REF!,"AAAAAHp65cY=")</f>
        <v>#REF!</v>
      </c>
      <c r="GR11" t="e">
        <f>AND(#REF!,"AAAAAHp65cc=")</f>
        <v>#REF!</v>
      </c>
      <c r="GS11" t="e">
        <f>AND(#REF!,"AAAAAHp65cg=")</f>
        <v>#REF!</v>
      </c>
      <c r="GT11" t="e">
        <f>IF(#REF!,"AAAAAHp65ck=",0)</f>
        <v>#REF!</v>
      </c>
      <c r="GU11" t="e">
        <f>AND(#REF!,"AAAAAHp65co=")</f>
        <v>#REF!</v>
      </c>
      <c r="GV11" t="e">
        <f>AND(#REF!,"AAAAAHp65cs=")</f>
        <v>#REF!</v>
      </c>
      <c r="GW11" t="e">
        <f>AND(#REF!,"AAAAAHp65cw=")</f>
        <v>#REF!</v>
      </c>
      <c r="GX11" t="e">
        <f>AND(#REF!,"AAAAAHp65c0=")</f>
        <v>#REF!</v>
      </c>
      <c r="GY11" t="e">
        <f>AND(#REF!,"AAAAAHp65c4=")</f>
        <v>#REF!</v>
      </c>
      <c r="GZ11" t="e">
        <f>AND(#REF!,"AAAAAHp65c8=")</f>
        <v>#REF!</v>
      </c>
      <c r="HA11" t="e">
        <f>AND(#REF!,"AAAAAHp65dA=")</f>
        <v>#REF!</v>
      </c>
      <c r="HB11" t="e">
        <f>AND(#REF!,"AAAAAHp65dE=")</f>
        <v>#REF!</v>
      </c>
      <c r="HC11" t="e">
        <f>AND(#REF!,"AAAAAHp65dI=")</f>
        <v>#REF!</v>
      </c>
      <c r="HD11" t="e">
        <f>AND(#REF!,"AAAAAHp65dM=")</f>
        <v>#REF!</v>
      </c>
      <c r="HE11" t="e">
        <f>AND(#REF!,"AAAAAHp65dQ=")</f>
        <v>#REF!</v>
      </c>
      <c r="HF11" t="e">
        <f>AND(#REF!,"AAAAAHp65dU=")</f>
        <v>#REF!</v>
      </c>
      <c r="HG11" t="e">
        <f>AND(#REF!,"AAAAAHp65dY=")</f>
        <v>#REF!</v>
      </c>
      <c r="HH11" t="e">
        <f>AND(#REF!,"AAAAAHp65dc=")</f>
        <v>#REF!</v>
      </c>
      <c r="HI11" t="e">
        <f>AND(#REF!,"AAAAAHp65dg=")</f>
        <v>#REF!</v>
      </c>
      <c r="HJ11" t="e">
        <f>IF(#REF!,"AAAAAHp65dk=",0)</f>
        <v>#REF!</v>
      </c>
      <c r="HK11" t="e">
        <f>AND(#REF!,"AAAAAHp65do=")</f>
        <v>#REF!</v>
      </c>
      <c r="HL11" t="e">
        <f>AND(#REF!,"AAAAAHp65ds=")</f>
        <v>#REF!</v>
      </c>
      <c r="HM11" t="e">
        <f>AND(#REF!,"AAAAAHp65dw=")</f>
        <v>#REF!</v>
      </c>
      <c r="HN11" t="e">
        <f>AND(#REF!,"AAAAAHp65d0=")</f>
        <v>#REF!</v>
      </c>
      <c r="HO11" t="e">
        <f>AND(#REF!,"AAAAAHp65d4=")</f>
        <v>#REF!</v>
      </c>
      <c r="HP11" t="e">
        <f>AND(#REF!,"AAAAAHp65d8=")</f>
        <v>#REF!</v>
      </c>
      <c r="HQ11" t="e">
        <f>AND(#REF!,"AAAAAHp65eA=")</f>
        <v>#REF!</v>
      </c>
      <c r="HR11" t="e">
        <f>AND(#REF!,"AAAAAHp65eE=")</f>
        <v>#REF!</v>
      </c>
      <c r="HS11" t="e">
        <f>AND(#REF!,"AAAAAHp65eI=")</f>
        <v>#REF!</v>
      </c>
      <c r="HT11" t="e">
        <f>AND(#REF!,"AAAAAHp65eM=")</f>
        <v>#REF!</v>
      </c>
      <c r="HU11" t="e">
        <f>AND(#REF!,"AAAAAHp65eQ=")</f>
        <v>#REF!</v>
      </c>
      <c r="HV11" t="e">
        <f>AND(#REF!,"AAAAAHp65eU=")</f>
        <v>#REF!</v>
      </c>
      <c r="HW11" t="e">
        <f>AND(#REF!,"AAAAAHp65eY=")</f>
        <v>#REF!</v>
      </c>
      <c r="HX11" t="e">
        <f>AND(#REF!,"AAAAAHp65ec=")</f>
        <v>#REF!</v>
      </c>
      <c r="HY11" t="e">
        <f>AND(#REF!,"AAAAAHp65eg=")</f>
        <v>#REF!</v>
      </c>
      <c r="HZ11" t="e">
        <f>IF(#REF!,"AAAAAHp65ek=",0)</f>
        <v>#REF!</v>
      </c>
      <c r="IA11" t="e">
        <f>AND(#REF!,"AAAAAHp65eo=")</f>
        <v>#REF!</v>
      </c>
      <c r="IB11" t="e">
        <f>AND(#REF!,"AAAAAHp65es=")</f>
        <v>#REF!</v>
      </c>
      <c r="IC11" t="e">
        <f>AND(#REF!,"AAAAAHp65ew=")</f>
        <v>#REF!</v>
      </c>
      <c r="ID11" t="e">
        <f>AND(#REF!,"AAAAAHp65e0=")</f>
        <v>#REF!</v>
      </c>
      <c r="IE11" t="e">
        <f>AND(#REF!,"AAAAAHp65e4=")</f>
        <v>#REF!</v>
      </c>
      <c r="IF11" t="e">
        <f>AND(#REF!,"AAAAAHp65e8=")</f>
        <v>#REF!</v>
      </c>
      <c r="IG11" t="e">
        <f>AND(#REF!,"AAAAAHp65fA=")</f>
        <v>#REF!</v>
      </c>
      <c r="IH11" t="e">
        <f>AND(#REF!,"AAAAAHp65fE=")</f>
        <v>#REF!</v>
      </c>
      <c r="II11" t="e">
        <f>AND(#REF!,"AAAAAHp65fI=")</f>
        <v>#REF!</v>
      </c>
      <c r="IJ11" t="e">
        <f>AND(#REF!,"AAAAAHp65fM=")</f>
        <v>#REF!</v>
      </c>
      <c r="IK11" t="e">
        <f>AND(#REF!,"AAAAAHp65fQ=")</f>
        <v>#REF!</v>
      </c>
      <c r="IL11" t="e">
        <f>AND(#REF!,"AAAAAHp65fU=")</f>
        <v>#REF!</v>
      </c>
      <c r="IM11" t="e">
        <f>AND(#REF!,"AAAAAHp65fY=")</f>
        <v>#REF!</v>
      </c>
      <c r="IN11" t="e">
        <f>AND(#REF!,"AAAAAHp65fc=")</f>
        <v>#REF!</v>
      </c>
      <c r="IO11" t="e">
        <f>AND(#REF!,"AAAAAHp65fg=")</f>
        <v>#REF!</v>
      </c>
      <c r="IP11" t="e">
        <f>IF(#REF!,"AAAAAHp65fk=",0)</f>
        <v>#REF!</v>
      </c>
      <c r="IQ11" t="e">
        <f>AND(#REF!,"AAAAAHp65fo=")</f>
        <v>#REF!</v>
      </c>
      <c r="IR11" t="e">
        <f>AND(#REF!,"AAAAAHp65fs=")</f>
        <v>#REF!</v>
      </c>
      <c r="IS11" t="e">
        <f>AND(#REF!,"AAAAAHp65fw=")</f>
        <v>#REF!</v>
      </c>
      <c r="IT11" t="e">
        <f>AND(#REF!,"AAAAAHp65f0=")</f>
        <v>#REF!</v>
      </c>
      <c r="IU11" t="e">
        <f>AND(#REF!,"AAAAAHp65f4=")</f>
        <v>#REF!</v>
      </c>
      <c r="IV11" t="e">
        <f>AND(#REF!,"AAAAAHp65f8=")</f>
        <v>#REF!</v>
      </c>
    </row>
    <row r="12" spans="1:256">
      <c r="A12" t="e">
        <f>AND(#REF!,"AAAAAFlf5QA=")</f>
        <v>#REF!</v>
      </c>
      <c r="B12" t="e">
        <f>AND(#REF!,"AAAAAFlf5QE=")</f>
        <v>#REF!</v>
      </c>
      <c r="C12" t="e">
        <f>AND(#REF!,"AAAAAFlf5QI=")</f>
        <v>#REF!</v>
      </c>
      <c r="D12" t="e">
        <f>AND(#REF!,"AAAAAFlf5QM=")</f>
        <v>#REF!</v>
      </c>
      <c r="E12" t="e">
        <f>AND(#REF!,"AAAAAFlf5QQ=")</f>
        <v>#REF!</v>
      </c>
      <c r="F12" t="e">
        <f>AND(#REF!,"AAAAAFlf5QU=")</f>
        <v>#REF!</v>
      </c>
      <c r="G12" t="e">
        <f>AND(#REF!,"AAAAAFlf5QY=")</f>
        <v>#REF!</v>
      </c>
      <c r="H12" t="e">
        <f>AND(#REF!,"AAAAAFlf5Qc=")</f>
        <v>#REF!</v>
      </c>
      <c r="I12" t="e">
        <f>AND(#REF!,"AAAAAFlf5Qg=")</f>
        <v>#REF!</v>
      </c>
      <c r="J12" t="e">
        <f>IF(#REF!,"AAAAAFlf5Qk=",0)</f>
        <v>#REF!</v>
      </c>
      <c r="K12" t="e">
        <f>AND(#REF!,"AAAAAFlf5Qo=")</f>
        <v>#REF!</v>
      </c>
      <c r="L12" t="e">
        <f>AND(#REF!,"AAAAAFlf5Qs=")</f>
        <v>#REF!</v>
      </c>
      <c r="M12" t="e">
        <f>AND(#REF!,"AAAAAFlf5Qw=")</f>
        <v>#REF!</v>
      </c>
      <c r="N12" t="e">
        <f>AND(#REF!,"AAAAAFlf5Q0=")</f>
        <v>#REF!</v>
      </c>
      <c r="O12" t="e">
        <f>AND(#REF!,"AAAAAFlf5Q4=")</f>
        <v>#REF!</v>
      </c>
      <c r="P12" t="e">
        <f>AND(#REF!,"AAAAAFlf5Q8=")</f>
        <v>#REF!</v>
      </c>
      <c r="Q12" t="e">
        <f>AND(#REF!,"AAAAAFlf5RA=")</f>
        <v>#REF!</v>
      </c>
      <c r="R12" t="e">
        <f>AND(#REF!,"AAAAAFlf5RE=")</f>
        <v>#REF!</v>
      </c>
      <c r="S12" t="e">
        <f>AND(#REF!,"AAAAAFlf5RI=")</f>
        <v>#REF!</v>
      </c>
      <c r="T12" t="e">
        <f>AND(#REF!,"AAAAAFlf5RM=")</f>
        <v>#REF!</v>
      </c>
      <c r="U12" t="e">
        <f>AND(#REF!,"AAAAAFlf5RQ=")</f>
        <v>#REF!</v>
      </c>
      <c r="V12" t="e">
        <f>AND(#REF!,"AAAAAFlf5RU=")</f>
        <v>#REF!</v>
      </c>
      <c r="W12" t="e">
        <f>AND(#REF!,"AAAAAFlf5RY=")</f>
        <v>#REF!</v>
      </c>
      <c r="X12" t="e">
        <f>AND(#REF!,"AAAAAFlf5Rc=")</f>
        <v>#REF!</v>
      </c>
      <c r="Y12" t="e">
        <f>AND(#REF!,"AAAAAFlf5Rg=")</f>
        <v>#REF!</v>
      </c>
      <c r="Z12" t="e">
        <f>IF(#REF!,"AAAAAFlf5Rk=",0)</f>
        <v>#REF!</v>
      </c>
      <c r="AA12" t="e">
        <f>AND(#REF!,"AAAAAFlf5Ro=")</f>
        <v>#REF!</v>
      </c>
      <c r="AB12" t="e">
        <f>AND(#REF!,"AAAAAFlf5Rs=")</f>
        <v>#REF!</v>
      </c>
      <c r="AC12" t="e">
        <f>AND(#REF!,"AAAAAFlf5Rw=")</f>
        <v>#REF!</v>
      </c>
      <c r="AD12" t="e">
        <f>AND(#REF!,"AAAAAFlf5R0=")</f>
        <v>#REF!</v>
      </c>
      <c r="AE12" t="e">
        <f>AND(#REF!,"AAAAAFlf5R4=")</f>
        <v>#REF!</v>
      </c>
      <c r="AF12" t="e">
        <f>AND(#REF!,"AAAAAFlf5R8=")</f>
        <v>#REF!</v>
      </c>
      <c r="AG12" t="e">
        <f>AND(#REF!,"AAAAAFlf5SA=")</f>
        <v>#REF!</v>
      </c>
      <c r="AH12" t="e">
        <f>AND(#REF!,"AAAAAFlf5SE=")</f>
        <v>#REF!</v>
      </c>
      <c r="AI12" t="e">
        <f>AND(#REF!,"AAAAAFlf5SI=")</f>
        <v>#REF!</v>
      </c>
      <c r="AJ12" t="e">
        <f>AND(#REF!,"AAAAAFlf5SM=")</f>
        <v>#REF!</v>
      </c>
      <c r="AK12" t="e">
        <f>AND(#REF!,"AAAAAFlf5SQ=")</f>
        <v>#REF!</v>
      </c>
      <c r="AL12" t="e">
        <f>AND(#REF!,"AAAAAFlf5SU=")</f>
        <v>#REF!</v>
      </c>
      <c r="AM12" t="e">
        <f>AND(#REF!,"AAAAAFlf5SY=")</f>
        <v>#REF!</v>
      </c>
      <c r="AN12" t="e">
        <f>AND(#REF!,"AAAAAFlf5Sc=")</f>
        <v>#REF!</v>
      </c>
      <c r="AO12" t="e">
        <f>AND(#REF!,"AAAAAFlf5Sg=")</f>
        <v>#REF!</v>
      </c>
      <c r="AP12" t="e">
        <f>IF(#REF!,"AAAAAFlf5Sk=",0)</f>
        <v>#REF!</v>
      </c>
      <c r="AQ12" t="e">
        <f>AND(#REF!,"AAAAAFlf5So=")</f>
        <v>#REF!</v>
      </c>
      <c r="AR12" t="e">
        <f>AND(#REF!,"AAAAAFlf5Ss=")</f>
        <v>#REF!</v>
      </c>
      <c r="AS12" t="e">
        <f>AND(#REF!,"AAAAAFlf5Sw=")</f>
        <v>#REF!</v>
      </c>
      <c r="AT12" t="e">
        <f>AND(#REF!,"AAAAAFlf5S0=")</f>
        <v>#REF!</v>
      </c>
      <c r="AU12" t="e">
        <f>AND(#REF!,"AAAAAFlf5S4=")</f>
        <v>#REF!</v>
      </c>
      <c r="AV12" t="e">
        <f>AND(#REF!,"AAAAAFlf5S8=")</f>
        <v>#REF!</v>
      </c>
      <c r="AW12" t="e">
        <f>AND(#REF!,"AAAAAFlf5TA=")</f>
        <v>#REF!</v>
      </c>
      <c r="AX12" t="e">
        <f>AND(#REF!,"AAAAAFlf5TE=")</f>
        <v>#REF!</v>
      </c>
      <c r="AY12" t="e">
        <f>AND(#REF!,"AAAAAFlf5TI=")</f>
        <v>#REF!</v>
      </c>
      <c r="AZ12" t="e">
        <f>AND(#REF!,"AAAAAFlf5TM=")</f>
        <v>#REF!</v>
      </c>
      <c r="BA12" t="e">
        <f>AND(#REF!,"AAAAAFlf5TQ=")</f>
        <v>#REF!</v>
      </c>
      <c r="BB12" t="e">
        <f>AND(#REF!,"AAAAAFlf5TU=")</f>
        <v>#REF!</v>
      </c>
      <c r="BC12" t="e">
        <f>AND(#REF!,"AAAAAFlf5TY=")</f>
        <v>#REF!</v>
      </c>
      <c r="BD12" t="e">
        <f>AND(#REF!,"AAAAAFlf5Tc=")</f>
        <v>#REF!</v>
      </c>
      <c r="BE12" t="e">
        <f>AND(#REF!,"AAAAAFlf5Tg=")</f>
        <v>#REF!</v>
      </c>
      <c r="BF12" t="e">
        <f>IF(#REF!,"AAAAAFlf5Tk=",0)</f>
        <v>#REF!</v>
      </c>
      <c r="BG12" t="e">
        <f>AND(#REF!,"AAAAAFlf5To=")</f>
        <v>#REF!</v>
      </c>
      <c r="BH12" t="e">
        <f>AND(#REF!,"AAAAAFlf5Ts=")</f>
        <v>#REF!</v>
      </c>
      <c r="BI12" t="e">
        <f>AND(#REF!,"AAAAAFlf5Tw=")</f>
        <v>#REF!</v>
      </c>
      <c r="BJ12" t="e">
        <f>AND(#REF!,"AAAAAFlf5T0=")</f>
        <v>#REF!</v>
      </c>
      <c r="BK12" t="e">
        <f>AND(#REF!,"AAAAAFlf5T4=")</f>
        <v>#REF!</v>
      </c>
      <c r="BL12" t="e">
        <f>AND(#REF!,"AAAAAFlf5T8=")</f>
        <v>#REF!</v>
      </c>
      <c r="BM12" t="e">
        <f>AND(#REF!,"AAAAAFlf5UA=")</f>
        <v>#REF!</v>
      </c>
      <c r="BN12" t="e">
        <f>AND(#REF!,"AAAAAFlf5UE=")</f>
        <v>#REF!</v>
      </c>
      <c r="BO12" t="e">
        <f>AND(#REF!,"AAAAAFlf5UI=")</f>
        <v>#REF!</v>
      </c>
      <c r="BP12" t="e">
        <f>AND(#REF!,"AAAAAFlf5UM=")</f>
        <v>#REF!</v>
      </c>
      <c r="BQ12" t="e">
        <f>AND(#REF!,"AAAAAFlf5UQ=")</f>
        <v>#REF!</v>
      </c>
      <c r="BR12" t="e">
        <f>AND(#REF!,"AAAAAFlf5UU=")</f>
        <v>#REF!</v>
      </c>
      <c r="BS12" t="e">
        <f>AND(#REF!,"AAAAAFlf5UY=")</f>
        <v>#REF!</v>
      </c>
      <c r="BT12" t="e">
        <f>AND(#REF!,"AAAAAFlf5Uc=")</f>
        <v>#REF!</v>
      </c>
      <c r="BU12" t="e">
        <f>AND(#REF!,"AAAAAFlf5Ug=")</f>
        <v>#REF!</v>
      </c>
      <c r="BV12" t="e">
        <f>IF(#REF!,"AAAAAFlf5Uk=",0)</f>
        <v>#REF!</v>
      </c>
      <c r="BW12" t="e">
        <f>AND(#REF!,"AAAAAFlf5Uo=")</f>
        <v>#REF!</v>
      </c>
      <c r="BX12" t="e">
        <f>AND(#REF!,"AAAAAFlf5Us=")</f>
        <v>#REF!</v>
      </c>
      <c r="BY12" t="e">
        <f>AND(#REF!,"AAAAAFlf5Uw=")</f>
        <v>#REF!</v>
      </c>
      <c r="BZ12" t="e">
        <f>AND(#REF!,"AAAAAFlf5U0=")</f>
        <v>#REF!</v>
      </c>
      <c r="CA12" t="e">
        <f>AND(#REF!,"AAAAAFlf5U4=")</f>
        <v>#REF!</v>
      </c>
      <c r="CB12" t="e">
        <f>AND(#REF!,"AAAAAFlf5U8=")</f>
        <v>#REF!</v>
      </c>
      <c r="CC12" t="e">
        <f>AND(#REF!,"AAAAAFlf5VA=")</f>
        <v>#REF!</v>
      </c>
      <c r="CD12" t="e">
        <f>AND(#REF!,"AAAAAFlf5VE=")</f>
        <v>#REF!</v>
      </c>
      <c r="CE12" t="e">
        <f>AND(#REF!,"AAAAAFlf5VI=")</f>
        <v>#REF!</v>
      </c>
      <c r="CF12" t="e">
        <f>AND(#REF!,"AAAAAFlf5VM=")</f>
        <v>#REF!</v>
      </c>
      <c r="CG12" t="e">
        <f>AND(#REF!,"AAAAAFlf5VQ=")</f>
        <v>#REF!</v>
      </c>
      <c r="CH12" t="e">
        <f>AND(#REF!,"AAAAAFlf5VU=")</f>
        <v>#REF!</v>
      </c>
      <c r="CI12" t="e">
        <f>AND(#REF!,"AAAAAFlf5VY=")</f>
        <v>#REF!</v>
      </c>
      <c r="CJ12" t="e">
        <f>AND(#REF!,"AAAAAFlf5Vc=")</f>
        <v>#REF!</v>
      </c>
      <c r="CK12" t="e">
        <f>AND(#REF!,"AAAAAFlf5Vg=")</f>
        <v>#REF!</v>
      </c>
      <c r="CL12" t="e">
        <f>IF(#REF!,"AAAAAFlf5Vk=",0)</f>
        <v>#REF!</v>
      </c>
      <c r="CM12" t="e">
        <f>AND(#REF!,"AAAAAFlf5Vo=")</f>
        <v>#REF!</v>
      </c>
      <c r="CN12" t="e">
        <f>AND(#REF!,"AAAAAFlf5Vs=")</f>
        <v>#REF!</v>
      </c>
      <c r="CO12" t="e">
        <f>AND(#REF!,"AAAAAFlf5Vw=")</f>
        <v>#REF!</v>
      </c>
      <c r="CP12" t="e">
        <f>AND(#REF!,"AAAAAFlf5V0=")</f>
        <v>#REF!</v>
      </c>
      <c r="CQ12" t="e">
        <f>AND(#REF!,"AAAAAFlf5V4=")</f>
        <v>#REF!</v>
      </c>
      <c r="CR12" t="e">
        <f>AND(#REF!,"AAAAAFlf5V8=")</f>
        <v>#REF!</v>
      </c>
      <c r="CS12" t="e">
        <f>AND(#REF!,"AAAAAFlf5WA=")</f>
        <v>#REF!</v>
      </c>
      <c r="CT12" t="e">
        <f>AND(#REF!,"AAAAAFlf5WE=")</f>
        <v>#REF!</v>
      </c>
      <c r="CU12" t="e">
        <f>AND(#REF!,"AAAAAFlf5WI=")</f>
        <v>#REF!</v>
      </c>
      <c r="CV12" t="e">
        <f>AND(#REF!,"AAAAAFlf5WM=")</f>
        <v>#REF!</v>
      </c>
      <c r="CW12" t="e">
        <f>AND(#REF!,"AAAAAFlf5WQ=")</f>
        <v>#REF!</v>
      </c>
      <c r="CX12" t="e">
        <f>AND(#REF!,"AAAAAFlf5WU=")</f>
        <v>#REF!</v>
      </c>
      <c r="CY12" t="e">
        <f>AND(#REF!,"AAAAAFlf5WY=")</f>
        <v>#REF!</v>
      </c>
      <c r="CZ12" t="e">
        <f>AND(#REF!,"AAAAAFlf5Wc=")</f>
        <v>#REF!</v>
      </c>
      <c r="DA12" t="e">
        <f>AND(#REF!,"AAAAAFlf5Wg=")</f>
        <v>#REF!</v>
      </c>
      <c r="DB12" t="e">
        <f>IF(#REF!,"AAAAAFlf5Wk=",0)</f>
        <v>#REF!</v>
      </c>
      <c r="DC12" t="e">
        <f>AND(#REF!,"AAAAAFlf5Wo=")</f>
        <v>#REF!</v>
      </c>
      <c r="DD12" t="e">
        <f>AND(#REF!,"AAAAAFlf5Ws=")</f>
        <v>#REF!</v>
      </c>
      <c r="DE12" t="e">
        <f>AND(#REF!,"AAAAAFlf5Ww=")</f>
        <v>#REF!</v>
      </c>
      <c r="DF12" t="e">
        <f>AND(#REF!,"AAAAAFlf5W0=")</f>
        <v>#REF!</v>
      </c>
      <c r="DG12" t="e">
        <f>AND(#REF!,"AAAAAFlf5W4=")</f>
        <v>#REF!</v>
      </c>
      <c r="DH12" t="e">
        <f>AND(#REF!,"AAAAAFlf5W8=")</f>
        <v>#REF!</v>
      </c>
      <c r="DI12" t="e">
        <f>AND(#REF!,"AAAAAFlf5XA=")</f>
        <v>#REF!</v>
      </c>
      <c r="DJ12" t="e">
        <f>AND(#REF!,"AAAAAFlf5XE=")</f>
        <v>#REF!</v>
      </c>
      <c r="DK12" t="e">
        <f>AND(#REF!,"AAAAAFlf5XI=")</f>
        <v>#REF!</v>
      </c>
      <c r="DL12" t="e">
        <f>AND(#REF!,"AAAAAFlf5XM=")</f>
        <v>#REF!</v>
      </c>
      <c r="DM12" t="e">
        <f>AND(#REF!,"AAAAAFlf5XQ=")</f>
        <v>#REF!</v>
      </c>
      <c r="DN12" t="e">
        <f>AND(#REF!,"AAAAAFlf5XU=")</f>
        <v>#REF!</v>
      </c>
      <c r="DO12" t="e">
        <f>AND(#REF!,"AAAAAFlf5XY=")</f>
        <v>#REF!</v>
      </c>
      <c r="DP12" t="e">
        <f>AND(#REF!,"AAAAAFlf5Xc=")</f>
        <v>#REF!</v>
      </c>
      <c r="DQ12" t="e">
        <f>AND(#REF!,"AAAAAFlf5Xg=")</f>
        <v>#REF!</v>
      </c>
      <c r="DR12" t="e">
        <f>IF(#REF!,"AAAAAFlf5Xk=",0)</f>
        <v>#REF!</v>
      </c>
      <c r="DS12" t="e">
        <f>AND(#REF!,"AAAAAFlf5Xo=")</f>
        <v>#REF!</v>
      </c>
      <c r="DT12" t="e">
        <f>AND(#REF!,"AAAAAFlf5Xs=")</f>
        <v>#REF!</v>
      </c>
      <c r="DU12" t="e">
        <f>AND(#REF!,"AAAAAFlf5Xw=")</f>
        <v>#REF!</v>
      </c>
      <c r="DV12" t="e">
        <f>AND(#REF!,"AAAAAFlf5X0=")</f>
        <v>#REF!</v>
      </c>
      <c r="DW12" t="e">
        <f>AND(#REF!,"AAAAAFlf5X4=")</f>
        <v>#REF!</v>
      </c>
      <c r="DX12" t="e">
        <f>AND(#REF!,"AAAAAFlf5X8=")</f>
        <v>#REF!</v>
      </c>
      <c r="DY12" t="e">
        <f>AND(#REF!,"AAAAAFlf5YA=")</f>
        <v>#REF!</v>
      </c>
      <c r="DZ12" t="e">
        <f>AND(#REF!,"AAAAAFlf5YE=")</f>
        <v>#REF!</v>
      </c>
      <c r="EA12" t="e">
        <f>AND(#REF!,"AAAAAFlf5YI=")</f>
        <v>#REF!</v>
      </c>
      <c r="EB12" t="e">
        <f>AND(#REF!,"AAAAAFlf5YM=")</f>
        <v>#REF!</v>
      </c>
      <c r="EC12" t="e">
        <f>AND(#REF!,"AAAAAFlf5YQ=")</f>
        <v>#REF!</v>
      </c>
      <c r="ED12" t="e">
        <f>AND(#REF!,"AAAAAFlf5YU=")</f>
        <v>#REF!</v>
      </c>
      <c r="EE12" t="e">
        <f>AND(#REF!,"AAAAAFlf5YY=")</f>
        <v>#REF!</v>
      </c>
      <c r="EF12" t="e">
        <f>AND(#REF!,"AAAAAFlf5Yc=")</f>
        <v>#REF!</v>
      </c>
      <c r="EG12" t="e">
        <f>AND(#REF!,"AAAAAFlf5Yg=")</f>
        <v>#REF!</v>
      </c>
      <c r="EH12" t="e">
        <f>IF(#REF!,"AAAAAFlf5Yk=",0)</f>
        <v>#REF!</v>
      </c>
      <c r="EI12" t="e">
        <f>AND(#REF!,"AAAAAFlf5Yo=")</f>
        <v>#REF!</v>
      </c>
      <c r="EJ12" t="e">
        <f>AND(#REF!,"AAAAAFlf5Ys=")</f>
        <v>#REF!</v>
      </c>
      <c r="EK12" t="e">
        <f>AND(#REF!,"AAAAAFlf5Yw=")</f>
        <v>#REF!</v>
      </c>
      <c r="EL12" t="e">
        <f>AND(#REF!,"AAAAAFlf5Y0=")</f>
        <v>#REF!</v>
      </c>
      <c r="EM12" t="e">
        <f>AND(#REF!,"AAAAAFlf5Y4=")</f>
        <v>#REF!</v>
      </c>
      <c r="EN12" t="e">
        <f>AND(#REF!,"AAAAAFlf5Y8=")</f>
        <v>#REF!</v>
      </c>
      <c r="EO12" t="e">
        <f>AND(#REF!,"AAAAAFlf5ZA=")</f>
        <v>#REF!</v>
      </c>
      <c r="EP12" t="e">
        <f>AND(#REF!,"AAAAAFlf5ZE=")</f>
        <v>#REF!</v>
      </c>
      <c r="EQ12" t="e">
        <f>AND(#REF!,"AAAAAFlf5ZI=")</f>
        <v>#REF!</v>
      </c>
      <c r="ER12" t="e">
        <f>AND(#REF!,"AAAAAFlf5ZM=")</f>
        <v>#REF!</v>
      </c>
      <c r="ES12" t="e">
        <f>AND(#REF!,"AAAAAFlf5ZQ=")</f>
        <v>#REF!</v>
      </c>
      <c r="ET12" t="e">
        <f>AND(#REF!,"AAAAAFlf5ZU=")</f>
        <v>#REF!</v>
      </c>
      <c r="EU12" t="e">
        <f>AND(#REF!,"AAAAAFlf5ZY=")</f>
        <v>#REF!</v>
      </c>
      <c r="EV12" t="e">
        <f>AND(#REF!,"AAAAAFlf5Zc=")</f>
        <v>#REF!</v>
      </c>
      <c r="EW12" t="e">
        <f>AND(#REF!,"AAAAAFlf5Zg=")</f>
        <v>#REF!</v>
      </c>
      <c r="EX12" t="e">
        <f>IF(#REF!,"AAAAAFlf5Zk=",0)</f>
        <v>#REF!</v>
      </c>
      <c r="EY12" t="e">
        <f>AND(#REF!,"AAAAAFlf5Zo=")</f>
        <v>#REF!</v>
      </c>
      <c r="EZ12" t="e">
        <f>AND(#REF!,"AAAAAFlf5Zs=")</f>
        <v>#REF!</v>
      </c>
      <c r="FA12" t="e">
        <f>AND(#REF!,"AAAAAFlf5Zw=")</f>
        <v>#REF!</v>
      </c>
      <c r="FB12" t="e">
        <f>AND(#REF!,"AAAAAFlf5Z0=")</f>
        <v>#REF!</v>
      </c>
      <c r="FC12" t="e">
        <f>AND(#REF!,"AAAAAFlf5Z4=")</f>
        <v>#REF!</v>
      </c>
      <c r="FD12" t="e">
        <f>AND(#REF!,"AAAAAFlf5Z8=")</f>
        <v>#REF!</v>
      </c>
      <c r="FE12" t="e">
        <f>AND(#REF!,"AAAAAFlf5aA=")</f>
        <v>#REF!</v>
      </c>
      <c r="FF12" t="e">
        <f>AND(#REF!,"AAAAAFlf5aE=")</f>
        <v>#REF!</v>
      </c>
      <c r="FG12" t="e">
        <f>AND(#REF!,"AAAAAFlf5aI=")</f>
        <v>#REF!</v>
      </c>
      <c r="FH12" t="e">
        <f>AND(#REF!,"AAAAAFlf5aM=")</f>
        <v>#REF!</v>
      </c>
      <c r="FI12" t="e">
        <f>AND(#REF!,"AAAAAFlf5aQ=")</f>
        <v>#REF!</v>
      </c>
      <c r="FJ12" t="e">
        <f>AND(#REF!,"AAAAAFlf5aU=")</f>
        <v>#REF!</v>
      </c>
      <c r="FK12" t="e">
        <f>AND(#REF!,"AAAAAFlf5aY=")</f>
        <v>#REF!</v>
      </c>
      <c r="FL12" t="e">
        <f>AND(#REF!,"AAAAAFlf5ac=")</f>
        <v>#REF!</v>
      </c>
      <c r="FM12" t="e">
        <f>AND(#REF!,"AAAAAFlf5ag=")</f>
        <v>#REF!</v>
      </c>
      <c r="FN12" t="e">
        <f>IF(#REF!,"AAAAAFlf5ak=",0)</f>
        <v>#REF!</v>
      </c>
      <c r="FO12" t="e">
        <f>AND(#REF!,"AAAAAFlf5ao=")</f>
        <v>#REF!</v>
      </c>
      <c r="FP12" t="e">
        <f>AND(#REF!,"AAAAAFlf5as=")</f>
        <v>#REF!</v>
      </c>
      <c r="FQ12" t="e">
        <f>AND(#REF!,"AAAAAFlf5aw=")</f>
        <v>#REF!</v>
      </c>
      <c r="FR12" t="e">
        <f>AND(#REF!,"AAAAAFlf5a0=")</f>
        <v>#REF!</v>
      </c>
      <c r="FS12" t="e">
        <f>AND(#REF!,"AAAAAFlf5a4=")</f>
        <v>#REF!</v>
      </c>
      <c r="FT12" t="e">
        <f>AND(#REF!,"AAAAAFlf5a8=")</f>
        <v>#REF!</v>
      </c>
      <c r="FU12" t="e">
        <f>AND(#REF!,"AAAAAFlf5bA=")</f>
        <v>#REF!</v>
      </c>
      <c r="FV12" t="e">
        <f>AND(#REF!,"AAAAAFlf5bE=")</f>
        <v>#REF!</v>
      </c>
      <c r="FW12" t="e">
        <f>AND(#REF!,"AAAAAFlf5bI=")</f>
        <v>#REF!</v>
      </c>
      <c r="FX12" t="e">
        <f>AND(#REF!,"AAAAAFlf5bM=")</f>
        <v>#REF!</v>
      </c>
      <c r="FY12" t="e">
        <f>AND(#REF!,"AAAAAFlf5bQ=")</f>
        <v>#REF!</v>
      </c>
      <c r="FZ12" t="e">
        <f>AND(#REF!,"AAAAAFlf5bU=")</f>
        <v>#REF!</v>
      </c>
      <c r="GA12" t="e">
        <f>AND(#REF!,"AAAAAFlf5bY=")</f>
        <v>#REF!</v>
      </c>
      <c r="GB12" t="e">
        <f>AND(#REF!,"AAAAAFlf5bc=")</f>
        <v>#REF!</v>
      </c>
      <c r="GC12" t="e">
        <f>AND(#REF!,"AAAAAFlf5bg=")</f>
        <v>#REF!</v>
      </c>
      <c r="GD12" t="e">
        <f>IF(#REF!,"AAAAAFlf5bk=",0)</f>
        <v>#REF!</v>
      </c>
      <c r="GE12" t="e">
        <f>AND(#REF!,"AAAAAFlf5bo=")</f>
        <v>#REF!</v>
      </c>
      <c r="GF12" t="e">
        <f>AND(#REF!,"AAAAAFlf5bs=")</f>
        <v>#REF!</v>
      </c>
      <c r="GG12" t="e">
        <f>AND(#REF!,"AAAAAFlf5bw=")</f>
        <v>#REF!</v>
      </c>
      <c r="GH12" t="e">
        <f>AND(#REF!,"AAAAAFlf5b0=")</f>
        <v>#REF!</v>
      </c>
      <c r="GI12" t="e">
        <f>AND(#REF!,"AAAAAFlf5b4=")</f>
        <v>#REF!</v>
      </c>
      <c r="GJ12" t="e">
        <f>AND(#REF!,"AAAAAFlf5b8=")</f>
        <v>#REF!</v>
      </c>
      <c r="GK12" t="e">
        <f>AND(#REF!,"AAAAAFlf5cA=")</f>
        <v>#REF!</v>
      </c>
      <c r="GL12" t="e">
        <f>AND(#REF!,"AAAAAFlf5cE=")</f>
        <v>#REF!</v>
      </c>
      <c r="GM12" t="e">
        <f>AND(#REF!,"AAAAAFlf5cI=")</f>
        <v>#REF!</v>
      </c>
      <c r="GN12" t="e">
        <f>AND(#REF!,"AAAAAFlf5cM=")</f>
        <v>#REF!</v>
      </c>
      <c r="GO12" t="e">
        <f>AND(#REF!,"AAAAAFlf5cQ=")</f>
        <v>#REF!</v>
      </c>
      <c r="GP12" t="e">
        <f>AND(#REF!,"AAAAAFlf5cU=")</f>
        <v>#REF!</v>
      </c>
      <c r="GQ12" t="e">
        <f>AND(#REF!,"AAAAAFlf5cY=")</f>
        <v>#REF!</v>
      </c>
      <c r="GR12" t="e">
        <f>AND(#REF!,"AAAAAFlf5cc=")</f>
        <v>#REF!</v>
      </c>
      <c r="GS12" t="e">
        <f>AND(#REF!,"AAAAAFlf5cg=")</f>
        <v>#REF!</v>
      </c>
      <c r="GT12" t="e">
        <f>IF(#REF!,"AAAAAFlf5ck=",0)</f>
        <v>#REF!</v>
      </c>
      <c r="GU12" t="e">
        <f>AND(#REF!,"AAAAAFlf5co=")</f>
        <v>#REF!</v>
      </c>
      <c r="GV12" t="e">
        <f>AND(#REF!,"AAAAAFlf5cs=")</f>
        <v>#REF!</v>
      </c>
      <c r="GW12" t="e">
        <f>AND(#REF!,"AAAAAFlf5cw=")</f>
        <v>#REF!</v>
      </c>
      <c r="GX12" t="e">
        <f>AND(#REF!,"AAAAAFlf5c0=")</f>
        <v>#REF!</v>
      </c>
      <c r="GY12" t="e">
        <f>AND(#REF!,"AAAAAFlf5c4=")</f>
        <v>#REF!</v>
      </c>
      <c r="GZ12" t="e">
        <f>AND(#REF!,"AAAAAFlf5c8=")</f>
        <v>#REF!</v>
      </c>
      <c r="HA12" t="e">
        <f>AND(#REF!,"AAAAAFlf5dA=")</f>
        <v>#REF!</v>
      </c>
      <c r="HB12" t="e">
        <f>AND(#REF!,"AAAAAFlf5dE=")</f>
        <v>#REF!</v>
      </c>
      <c r="HC12" t="e">
        <f>AND(#REF!,"AAAAAFlf5dI=")</f>
        <v>#REF!</v>
      </c>
      <c r="HD12" t="e">
        <f>AND(#REF!,"AAAAAFlf5dM=")</f>
        <v>#REF!</v>
      </c>
      <c r="HE12" t="e">
        <f>AND(#REF!,"AAAAAFlf5dQ=")</f>
        <v>#REF!</v>
      </c>
      <c r="HF12" t="e">
        <f>AND(#REF!,"AAAAAFlf5dU=")</f>
        <v>#REF!</v>
      </c>
      <c r="HG12" t="e">
        <f>AND(#REF!,"AAAAAFlf5dY=")</f>
        <v>#REF!</v>
      </c>
      <c r="HH12" t="e">
        <f>AND(#REF!,"AAAAAFlf5dc=")</f>
        <v>#REF!</v>
      </c>
      <c r="HI12" t="e">
        <f>AND(#REF!,"AAAAAFlf5dg=")</f>
        <v>#REF!</v>
      </c>
      <c r="HJ12" t="e">
        <f>IF(#REF!,"AAAAAFlf5dk=",0)</f>
        <v>#REF!</v>
      </c>
      <c r="HK12" t="e">
        <f>AND(#REF!,"AAAAAFlf5do=")</f>
        <v>#REF!</v>
      </c>
      <c r="HL12" t="e">
        <f>AND(#REF!,"AAAAAFlf5ds=")</f>
        <v>#REF!</v>
      </c>
      <c r="HM12" t="e">
        <f>AND(#REF!,"AAAAAFlf5dw=")</f>
        <v>#REF!</v>
      </c>
      <c r="HN12" t="e">
        <f>AND(#REF!,"AAAAAFlf5d0=")</f>
        <v>#REF!</v>
      </c>
      <c r="HO12" t="e">
        <f>AND(#REF!,"AAAAAFlf5d4=")</f>
        <v>#REF!</v>
      </c>
      <c r="HP12" t="e">
        <f>AND(#REF!,"AAAAAFlf5d8=")</f>
        <v>#REF!</v>
      </c>
      <c r="HQ12" t="e">
        <f>AND(#REF!,"AAAAAFlf5eA=")</f>
        <v>#REF!</v>
      </c>
      <c r="HR12" t="e">
        <f>AND(#REF!,"AAAAAFlf5eE=")</f>
        <v>#REF!</v>
      </c>
      <c r="HS12" t="e">
        <f>AND(#REF!,"AAAAAFlf5eI=")</f>
        <v>#REF!</v>
      </c>
      <c r="HT12" t="e">
        <f>AND(#REF!,"AAAAAFlf5eM=")</f>
        <v>#REF!</v>
      </c>
      <c r="HU12" t="e">
        <f>AND(#REF!,"AAAAAFlf5eQ=")</f>
        <v>#REF!</v>
      </c>
      <c r="HV12" t="e">
        <f>AND(#REF!,"AAAAAFlf5eU=")</f>
        <v>#REF!</v>
      </c>
      <c r="HW12" t="e">
        <f>AND(#REF!,"AAAAAFlf5eY=")</f>
        <v>#REF!</v>
      </c>
      <c r="HX12" t="e">
        <f>AND(#REF!,"AAAAAFlf5ec=")</f>
        <v>#REF!</v>
      </c>
      <c r="HY12" t="e">
        <f>AND(#REF!,"AAAAAFlf5eg=")</f>
        <v>#REF!</v>
      </c>
      <c r="HZ12" t="e">
        <f>IF(#REF!,"AAAAAFlf5ek=",0)</f>
        <v>#REF!</v>
      </c>
      <c r="IA12" t="e">
        <f>AND(#REF!,"AAAAAFlf5eo=")</f>
        <v>#REF!</v>
      </c>
      <c r="IB12" t="e">
        <f>AND(#REF!,"AAAAAFlf5es=")</f>
        <v>#REF!</v>
      </c>
      <c r="IC12" t="e">
        <f>AND(#REF!,"AAAAAFlf5ew=")</f>
        <v>#REF!</v>
      </c>
      <c r="ID12" t="e">
        <f>AND(#REF!,"AAAAAFlf5e0=")</f>
        <v>#REF!</v>
      </c>
      <c r="IE12" t="e">
        <f>AND(#REF!,"AAAAAFlf5e4=")</f>
        <v>#REF!</v>
      </c>
      <c r="IF12" t="e">
        <f>AND(#REF!,"AAAAAFlf5e8=")</f>
        <v>#REF!</v>
      </c>
      <c r="IG12" t="e">
        <f>AND(#REF!,"AAAAAFlf5fA=")</f>
        <v>#REF!</v>
      </c>
      <c r="IH12" t="e">
        <f>AND(#REF!,"AAAAAFlf5fE=")</f>
        <v>#REF!</v>
      </c>
      <c r="II12" t="e">
        <f>AND(#REF!,"AAAAAFlf5fI=")</f>
        <v>#REF!</v>
      </c>
      <c r="IJ12" t="e">
        <f>AND(#REF!,"AAAAAFlf5fM=")</f>
        <v>#REF!</v>
      </c>
      <c r="IK12" t="e">
        <f>AND(#REF!,"AAAAAFlf5fQ=")</f>
        <v>#REF!</v>
      </c>
      <c r="IL12" t="e">
        <f>AND(#REF!,"AAAAAFlf5fU=")</f>
        <v>#REF!</v>
      </c>
      <c r="IM12" t="e">
        <f>AND(#REF!,"AAAAAFlf5fY=")</f>
        <v>#REF!</v>
      </c>
      <c r="IN12" t="e">
        <f>AND(#REF!,"AAAAAFlf5fc=")</f>
        <v>#REF!</v>
      </c>
      <c r="IO12" t="e">
        <f>AND(#REF!,"AAAAAFlf5fg=")</f>
        <v>#REF!</v>
      </c>
      <c r="IP12" t="e">
        <f>IF(#REF!,"AAAAAFlf5fk=",0)</f>
        <v>#REF!</v>
      </c>
      <c r="IQ12" t="e">
        <f>AND(#REF!,"AAAAAFlf5fo=")</f>
        <v>#REF!</v>
      </c>
      <c r="IR12" t="e">
        <f>AND(#REF!,"AAAAAFlf5fs=")</f>
        <v>#REF!</v>
      </c>
      <c r="IS12" t="e">
        <f>AND(#REF!,"AAAAAFlf5fw=")</f>
        <v>#REF!</v>
      </c>
      <c r="IT12" t="e">
        <f>AND(#REF!,"AAAAAFlf5f0=")</f>
        <v>#REF!</v>
      </c>
      <c r="IU12" t="e">
        <f>AND(#REF!,"AAAAAFlf5f4=")</f>
        <v>#REF!</v>
      </c>
      <c r="IV12" t="e">
        <f>AND(#REF!,"AAAAAFlf5f8=")</f>
        <v>#REF!</v>
      </c>
    </row>
    <row r="13" spans="1:256">
      <c r="A13" t="e">
        <f>AND(#REF!,"AAAAAG/d7gA=")</f>
        <v>#REF!</v>
      </c>
      <c r="B13" t="e">
        <f>AND(#REF!,"AAAAAG/d7gE=")</f>
        <v>#REF!</v>
      </c>
      <c r="C13" t="e">
        <f>AND(#REF!,"AAAAAG/d7gI=")</f>
        <v>#REF!</v>
      </c>
      <c r="D13" t="e">
        <f>AND(#REF!,"AAAAAG/d7gM=")</f>
        <v>#REF!</v>
      </c>
      <c r="E13" t="e">
        <f>AND(#REF!,"AAAAAG/d7gQ=")</f>
        <v>#REF!</v>
      </c>
      <c r="F13" t="e">
        <f>AND(#REF!,"AAAAAG/d7gU=")</f>
        <v>#REF!</v>
      </c>
      <c r="G13" t="e">
        <f>AND(#REF!,"AAAAAG/d7gY=")</f>
        <v>#REF!</v>
      </c>
      <c r="H13" t="e">
        <f>AND(#REF!,"AAAAAG/d7gc=")</f>
        <v>#REF!</v>
      </c>
      <c r="I13" t="e">
        <f>AND(#REF!,"AAAAAG/d7gg=")</f>
        <v>#REF!</v>
      </c>
      <c r="J13" t="e">
        <f>IF(#REF!,"AAAAAG/d7gk=",0)</f>
        <v>#REF!</v>
      </c>
      <c r="K13" t="e">
        <f>AND(#REF!,"AAAAAG/d7go=")</f>
        <v>#REF!</v>
      </c>
      <c r="L13" t="e">
        <f>AND(#REF!,"AAAAAG/d7gs=")</f>
        <v>#REF!</v>
      </c>
      <c r="M13" t="e">
        <f>AND(#REF!,"AAAAAG/d7gw=")</f>
        <v>#REF!</v>
      </c>
      <c r="N13" t="e">
        <f>AND(#REF!,"AAAAAG/d7g0=")</f>
        <v>#REF!</v>
      </c>
      <c r="O13" t="e">
        <f>AND(#REF!,"AAAAAG/d7g4=")</f>
        <v>#REF!</v>
      </c>
      <c r="P13" t="e">
        <f>AND(#REF!,"AAAAAG/d7g8=")</f>
        <v>#REF!</v>
      </c>
      <c r="Q13" t="e">
        <f>AND(#REF!,"AAAAAG/d7hA=")</f>
        <v>#REF!</v>
      </c>
      <c r="R13" t="e">
        <f>AND(#REF!,"AAAAAG/d7hE=")</f>
        <v>#REF!</v>
      </c>
      <c r="S13" t="e">
        <f>AND(#REF!,"AAAAAG/d7hI=")</f>
        <v>#REF!</v>
      </c>
      <c r="T13" t="e">
        <f>AND(#REF!,"AAAAAG/d7hM=")</f>
        <v>#REF!</v>
      </c>
      <c r="U13" t="e">
        <f>AND(#REF!,"AAAAAG/d7hQ=")</f>
        <v>#REF!</v>
      </c>
      <c r="V13" t="e">
        <f>AND(#REF!,"AAAAAG/d7hU=")</f>
        <v>#REF!</v>
      </c>
      <c r="W13" t="e">
        <f>AND(#REF!,"AAAAAG/d7hY=")</f>
        <v>#REF!</v>
      </c>
      <c r="X13" t="e">
        <f>AND(#REF!,"AAAAAG/d7hc=")</f>
        <v>#REF!</v>
      </c>
      <c r="Y13" t="e">
        <f>AND(#REF!,"AAAAAG/d7hg=")</f>
        <v>#REF!</v>
      </c>
      <c r="Z13" t="e">
        <f>IF(#REF!,"AAAAAG/d7hk=",0)</f>
        <v>#REF!</v>
      </c>
      <c r="AA13" t="e">
        <f>AND(#REF!,"AAAAAG/d7ho=")</f>
        <v>#REF!</v>
      </c>
      <c r="AB13" t="e">
        <f>AND(#REF!,"AAAAAG/d7hs=")</f>
        <v>#REF!</v>
      </c>
      <c r="AC13" t="e">
        <f>AND(#REF!,"AAAAAG/d7hw=")</f>
        <v>#REF!</v>
      </c>
      <c r="AD13" t="e">
        <f>AND(#REF!,"AAAAAG/d7h0=")</f>
        <v>#REF!</v>
      </c>
      <c r="AE13" t="e">
        <f>AND(#REF!,"AAAAAG/d7h4=")</f>
        <v>#REF!</v>
      </c>
      <c r="AF13" t="e">
        <f>AND(#REF!,"AAAAAG/d7h8=")</f>
        <v>#REF!</v>
      </c>
      <c r="AG13" t="e">
        <f>AND(#REF!,"AAAAAG/d7iA=")</f>
        <v>#REF!</v>
      </c>
      <c r="AH13" t="e">
        <f>AND(#REF!,"AAAAAG/d7iE=")</f>
        <v>#REF!</v>
      </c>
      <c r="AI13" t="e">
        <f>AND(#REF!,"AAAAAG/d7iI=")</f>
        <v>#REF!</v>
      </c>
      <c r="AJ13" t="e">
        <f>AND(#REF!,"AAAAAG/d7iM=")</f>
        <v>#REF!</v>
      </c>
      <c r="AK13" t="e">
        <f>AND(#REF!,"AAAAAG/d7iQ=")</f>
        <v>#REF!</v>
      </c>
      <c r="AL13" t="e">
        <f>AND(#REF!,"AAAAAG/d7iU=")</f>
        <v>#REF!</v>
      </c>
      <c r="AM13" t="e">
        <f>AND(#REF!,"AAAAAG/d7iY=")</f>
        <v>#REF!</v>
      </c>
      <c r="AN13" t="e">
        <f>AND(#REF!,"AAAAAG/d7ic=")</f>
        <v>#REF!</v>
      </c>
      <c r="AO13" t="e">
        <f>AND(#REF!,"AAAAAG/d7ig=")</f>
        <v>#REF!</v>
      </c>
      <c r="AP13" t="e">
        <f>IF(#REF!,"AAAAAG/d7ik=",0)</f>
        <v>#REF!</v>
      </c>
      <c r="AQ13" t="e">
        <f>AND(#REF!,"AAAAAG/d7io=")</f>
        <v>#REF!</v>
      </c>
      <c r="AR13" t="e">
        <f>AND(#REF!,"AAAAAG/d7is=")</f>
        <v>#REF!</v>
      </c>
      <c r="AS13" t="e">
        <f>AND(#REF!,"AAAAAG/d7iw=")</f>
        <v>#REF!</v>
      </c>
      <c r="AT13" t="e">
        <f>AND(#REF!,"AAAAAG/d7i0=")</f>
        <v>#REF!</v>
      </c>
      <c r="AU13" t="e">
        <f>AND(#REF!,"AAAAAG/d7i4=")</f>
        <v>#REF!</v>
      </c>
      <c r="AV13" t="e">
        <f>AND(#REF!,"AAAAAG/d7i8=")</f>
        <v>#REF!</v>
      </c>
      <c r="AW13" t="e">
        <f>AND(#REF!,"AAAAAG/d7jA=")</f>
        <v>#REF!</v>
      </c>
      <c r="AX13" t="e">
        <f>AND(#REF!,"AAAAAG/d7jE=")</f>
        <v>#REF!</v>
      </c>
      <c r="AY13" t="e">
        <f>AND(#REF!,"AAAAAG/d7jI=")</f>
        <v>#REF!</v>
      </c>
      <c r="AZ13" t="e">
        <f>AND(#REF!,"AAAAAG/d7jM=")</f>
        <v>#REF!</v>
      </c>
      <c r="BA13" t="e">
        <f>AND(#REF!,"AAAAAG/d7jQ=")</f>
        <v>#REF!</v>
      </c>
      <c r="BB13" t="e">
        <f>AND(#REF!,"AAAAAG/d7jU=")</f>
        <v>#REF!</v>
      </c>
      <c r="BC13" t="e">
        <f>AND(#REF!,"AAAAAG/d7jY=")</f>
        <v>#REF!</v>
      </c>
      <c r="BD13" t="e">
        <f>AND(#REF!,"AAAAAG/d7jc=")</f>
        <v>#REF!</v>
      </c>
      <c r="BE13" t="e">
        <f>AND(#REF!,"AAAAAG/d7jg=")</f>
        <v>#REF!</v>
      </c>
      <c r="BF13" t="e">
        <f>IF(#REF!,"AAAAAG/d7jk=",0)</f>
        <v>#REF!</v>
      </c>
      <c r="BG13" t="e">
        <f>AND(#REF!,"AAAAAG/d7jo=")</f>
        <v>#REF!</v>
      </c>
      <c r="BH13" t="e">
        <f>AND(#REF!,"AAAAAG/d7js=")</f>
        <v>#REF!</v>
      </c>
      <c r="BI13" t="e">
        <f>AND(#REF!,"AAAAAG/d7jw=")</f>
        <v>#REF!</v>
      </c>
      <c r="BJ13" t="e">
        <f>AND(#REF!,"AAAAAG/d7j0=")</f>
        <v>#REF!</v>
      </c>
      <c r="BK13" t="e">
        <f>AND(#REF!,"AAAAAG/d7j4=")</f>
        <v>#REF!</v>
      </c>
      <c r="BL13" t="e">
        <f>AND(#REF!,"AAAAAG/d7j8=")</f>
        <v>#REF!</v>
      </c>
      <c r="BM13" t="e">
        <f>AND(#REF!,"AAAAAG/d7kA=")</f>
        <v>#REF!</v>
      </c>
      <c r="BN13" t="e">
        <f>AND(#REF!,"AAAAAG/d7kE=")</f>
        <v>#REF!</v>
      </c>
      <c r="BO13" t="e">
        <f>AND(#REF!,"AAAAAG/d7kI=")</f>
        <v>#REF!</v>
      </c>
      <c r="BP13" t="e">
        <f>AND(#REF!,"AAAAAG/d7kM=")</f>
        <v>#REF!</v>
      </c>
      <c r="BQ13" t="e">
        <f>AND(#REF!,"AAAAAG/d7kQ=")</f>
        <v>#REF!</v>
      </c>
      <c r="BR13" t="e">
        <f>AND(#REF!,"AAAAAG/d7kU=")</f>
        <v>#REF!</v>
      </c>
      <c r="BS13" t="e">
        <f>AND(#REF!,"AAAAAG/d7kY=")</f>
        <v>#REF!</v>
      </c>
      <c r="BT13" t="e">
        <f>AND(#REF!,"AAAAAG/d7kc=")</f>
        <v>#REF!</v>
      </c>
      <c r="BU13" t="e">
        <f>AND(#REF!,"AAAAAG/d7kg=")</f>
        <v>#REF!</v>
      </c>
      <c r="BV13" t="e">
        <f>IF(#REF!,"AAAAAG/d7kk=",0)</f>
        <v>#REF!</v>
      </c>
      <c r="BW13" t="e">
        <f>AND(#REF!,"AAAAAG/d7ko=")</f>
        <v>#REF!</v>
      </c>
      <c r="BX13" t="e">
        <f>AND(#REF!,"AAAAAG/d7ks=")</f>
        <v>#REF!</v>
      </c>
      <c r="BY13" t="e">
        <f>AND(#REF!,"AAAAAG/d7kw=")</f>
        <v>#REF!</v>
      </c>
      <c r="BZ13" t="e">
        <f>AND(#REF!,"AAAAAG/d7k0=")</f>
        <v>#REF!</v>
      </c>
      <c r="CA13" t="e">
        <f>AND(#REF!,"AAAAAG/d7k4=")</f>
        <v>#REF!</v>
      </c>
      <c r="CB13" t="e">
        <f>AND(#REF!,"AAAAAG/d7k8=")</f>
        <v>#REF!</v>
      </c>
      <c r="CC13" t="e">
        <f>AND(#REF!,"AAAAAG/d7lA=")</f>
        <v>#REF!</v>
      </c>
      <c r="CD13" t="e">
        <f>AND(#REF!,"AAAAAG/d7lE=")</f>
        <v>#REF!</v>
      </c>
      <c r="CE13" t="e">
        <f>AND(#REF!,"AAAAAG/d7lI=")</f>
        <v>#REF!</v>
      </c>
      <c r="CF13" t="e">
        <f>AND(#REF!,"AAAAAG/d7lM=")</f>
        <v>#REF!</v>
      </c>
      <c r="CG13" t="e">
        <f>AND(#REF!,"AAAAAG/d7lQ=")</f>
        <v>#REF!</v>
      </c>
      <c r="CH13" t="e">
        <f>AND(#REF!,"AAAAAG/d7lU=")</f>
        <v>#REF!</v>
      </c>
      <c r="CI13" t="e">
        <f>AND(#REF!,"AAAAAG/d7lY=")</f>
        <v>#REF!</v>
      </c>
      <c r="CJ13" t="e">
        <f>AND(#REF!,"AAAAAG/d7lc=")</f>
        <v>#REF!</v>
      </c>
      <c r="CK13" t="e">
        <f>AND(#REF!,"AAAAAG/d7lg=")</f>
        <v>#REF!</v>
      </c>
      <c r="CL13" t="e">
        <f>IF(#REF!,"AAAAAG/d7lk=",0)</f>
        <v>#REF!</v>
      </c>
      <c r="CM13" t="e">
        <f>AND(#REF!,"AAAAAG/d7lo=")</f>
        <v>#REF!</v>
      </c>
      <c r="CN13" t="e">
        <f>AND(#REF!,"AAAAAG/d7ls=")</f>
        <v>#REF!</v>
      </c>
      <c r="CO13" t="e">
        <f>AND(#REF!,"AAAAAG/d7lw=")</f>
        <v>#REF!</v>
      </c>
      <c r="CP13" t="e">
        <f>AND(#REF!,"AAAAAG/d7l0=")</f>
        <v>#REF!</v>
      </c>
      <c r="CQ13" t="e">
        <f>AND(#REF!,"AAAAAG/d7l4=")</f>
        <v>#REF!</v>
      </c>
      <c r="CR13" t="e">
        <f>AND(#REF!,"AAAAAG/d7l8=")</f>
        <v>#REF!</v>
      </c>
      <c r="CS13" t="e">
        <f>AND(#REF!,"AAAAAG/d7mA=")</f>
        <v>#REF!</v>
      </c>
      <c r="CT13" t="e">
        <f>AND(#REF!,"AAAAAG/d7mE=")</f>
        <v>#REF!</v>
      </c>
      <c r="CU13" t="e">
        <f>AND(#REF!,"AAAAAG/d7mI=")</f>
        <v>#REF!</v>
      </c>
      <c r="CV13" t="e">
        <f>AND(#REF!,"AAAAAG/d7mM=")</f>
        <v>#REF!</v>
      </c>
      <c r="CW13" t="e">
        <f>AND(#REF!,"AAAAAG/d7mQ=")</f>
        <v>#REF!</v>
      </c>
      <c r="CX13" t="e">
        <f>AND(#REF!,"AAAAAG/d7mU=")</f>
        <v>#REF!</v>
      </c>
      <c r="CY13" t="e">
        <f>AND(#REF!,"AAAAAG/d7mY=")</f>
        <v>#REF!</v>
      </c>
      <c r="CZ13" t="e">
        <f>AND(#REF!,"AAAAAG/d7mc=")</f>
        <v>#REF!</v>
      </c>
      <c r="DA13" t="e">
        <f>AND(#REF!,"AAAAAG/d7mg=")</f>
        <v>#REF!</v>
      </c>
      <c r="DB13" t="e">
        <f>IF(#REF!,"AAAAAG/d7mk=",0)</f>
        <v>#REF!</v>
      </c>
      <c r="DC13" t="e">
        <f>AND(#REF!,"AAAAAG/d7mo=")</f>
        <v>#REF!</v>
      </c>
      <c r="DD13" t="e">
        <f>AND(#REF!,"AAAAAG/d7ms=")</f>
        <v>#REF!</v>
      </c>
      <c r="DE13" t="e">
        <f>AND(#REF!,"AAAAAG/d7mw=")</f>
        <v>#REF!</v>
      </c>
      <c r="DF13" t="e">
        <f>AND(#REF!,"AAAAAG/d7m0=")</f>
        <v>#REF!</v>
      </c>
      <c r="DG13" t="e">
        <f>AND(#REF!,"AAAAAG/d7m4=")</f>
        <v>#REF!</v>
      </c>
      <c r="DH13" t="e">
        <f>AND(#REF!,"AAAAAG/d7m8=")</f>
        <v>#REF!</v>
      </c>
      <c r="DI13" t="e">
        <f>AND(#REF!,"AAAAAG/d7nA=")</f>
        <v>#REF!</v>
      </c>
      <c r="DJ13" t="e">
        <f>AND(#REF!,"AAAAAG/d7nE=")</f>
        <v>#REF!</v>
      </c>
      <c r="DK13" t="e">
        <f>AND(#REF!,"AAAAAG/d7nI=")</f>
        <v>#REF!</v>
      </c>
      <c r="DL13" t="e">
        <f>AND(#REF!,"AAAAAG/d7nM=")</f>
        <v>#REF!</v>
      </c>
      <c r="DM13" t="e">
        <f>AND(#REF!,"AAAAAG/d7nQ=")</f>
        <v>#REF!</v>
      </c>
      <c r="DN13" t="e">
        <f>AND(#REF!,"AAAAAG/d7nU=")</f>
        <v>#REF!</v>
      </c>
      <c r="DO13" t="e">
        <f>AND(#REF!,"AAAAAG/d7nY=")</f>
        <v>#REF!</v>
      </c>
      <c r="DP13" t="e">
        <f>AND(#REF!,"AAAAAG/d7nc=")</f>
        <v>#REF!</v>
      </c>
      <c r="DQ13" t="e">
        <f>AND(#REF!,"AAAAAG/d7ng=")</f>
        <v>#REF!</v>
      </c>
      <c r="DR13" t="e">
        <f>IF(#REF!,"AAAAAG/d7nk=",0)</f>
        <v>#REF!</v>
      </c>
      <c r="DS13" t="e">
        <f>AND(#REF!,"AAAAAG/d7no=")</f>
        <v>#REF!</v>
      </c>
      <c r="DT13" t="e">
        <f>AND(#REF!,"AAAAAG/d7ns=")</f>
        <v>#REF!</v>
      </c>
      <c r="DU13" t="e">
        <f>AND(#REF!,"AAAAAG/d7nw=")</f>
        <v>#REF!</v>
      </c>
      <c r="DV13" t="e">
        <f>AND(#REF!,"AAAAAG/d7n0=")</f>
        <v>#REF!</v>
      </c>
      <c r="DW13" t="e">
        <f>AND(#REF!,"AAAAAG/d7n4=")</f>
        <v>#REF!</v>
      </c>
      <c r="DX13" t="e">
        <f>AND(#REF!,"AAAAAG/d7n8=")</f>
        <v>#REF!</v>
      </c>
      <c r="DY13" t="e">
        <f>AND(#REF!,"AAAAAG/d7oA=")</f>
        <v>#REF!</v>
      </c>
      <c r="DZ13" t="e">
        <f>AND(#REF!,"AAAAAG/d7oE=")</f>
        <v>#REF!</v>
      </c>
      <c r="EA13" t="e">
        <f>AND(#REF!,"AAAAAG/d7oI=")</f>
        <v>#REF!</v>
      </c>
      <c r="EB13" t="e">
        <f>AND(#REF!,"AAAAAG/d7oM=")</f>
        <v>#REF!</v>
      </c>
      <c r="EC13" t="e">
        <f>AND(#REF!,"AAAAAG/d7oQ=")</f>
        <v>#REF!</v>
      </c>
      <c r="ED13" t="e">
        <f>AND(#REF!,"AAAAAG/d7oU=")</f>
        <v>#REF!</v>
      </c>
      <c r="EE13" t="e">
        <f>AND(#REF!,"AAAAAG/d7oY=")</f>
        <v>#REF!</v>
      </c>
      <c r="EF13" t="e">
        <f>AND(#REF!,"AAAAAG/d7oc=")</f>
        <v>#REF!</v>
      </c>
      <c r="EG13" t="e">
        <f>AND(#REF!,"AAAAAG/d7og=")</f>
        <v>#REF!</v>
      </c>
      <c r="EH13" t="e">
        <f>IF(#REF!,"AAAAAG/d7ok=",0)</f>
        <v>#REF!</v>
      </c>
      <c r="EI13" t="e">
        <f>AND(#REF!,"AAAAAG/d7oo=")</f>
        <v>#REF!</v>
      </c>
      <c r="EJ13" t="e">
        <f>AND(#REF!,"AAAAAG/d7os=")</f>
        <v>#REF!</v>
      </c>
      <c r="EK13" t="e">
        <f>AND(#REF!,"AAAAAG/d7ow=")</f>
        <v>#REF!</v>
      </c>
      <c r="EL13" t="e">
        <f>AND(#REF!,"AAAAAG/d7o0=")</f>
        <v>#REF!</v>
      </c>
      <c r="EM13" t="e">
        <f>AND(#REF!,"AAAAAG/d7o4=")</f>
        <v>#REF!</v>
      </c>
      <c r="EN13" t="e">
        <f>AND(#REF!,"AAAAAG/d7o8=")</f>
        <v>#REF!</v>
      </c>
      <c r="EO13" t="e">
        <f>AND(#REF!,"AAAAAG/d7pA=")</f>
        <v>#REF!</v>
      </c>
      <c r="EP13" t="e">
        <f>AND(#REF!,"AAAAAG/d7pE=")</f>
        <v>#REF!</v>
      </c>
      <c r="EQ13" t="e">
        <f>AND(#REF!,"AAAAAG/d7pI=")</f>
        <v>#REF!</v>
      </c>
      <c r="ER13" t="e">
        <f>AND(#REF!,"AAAAAG/d7pM=")</f>
        <v>#REF!</v>
      </c>
      <c r="ES13" t="e">
        <f>AND(#REF!,"AAAAAG/d7pQ=")</f>
        <v>#REF!</v>
      </c>
      <c r="ET13" t="e">
        <f>AND(#REF!,"AAAAAG/d7pU=")</f>
        <v>#REF!</v>
      </c>
      <c r="EU13" t="e">
        <f>AND(#REF!,"AAAAAG/d7pY=")</f>
        <v>#REF!</v>
      </c>
      <c r="EV13" t="e">
        <f>AND(#REF!,"AAAAAG/d7pc=")</f>
        <v>#REF!</v>
      </c>
      <c r="EW13" t="e">
        <f>AND(#REF!,"AAAAAG/d7pg=")</f>
        <v>#REF!</v>
      </c>
      <c r="EX13" t="e">
        <f>IF(#REF!,"AAAAAG/d7pk=",0)</f>
        <v>#REF!</v>
      </c>
      <c r="EY13" t="e">
        <f>IF(#REF!,"AAAAAG/d7po=",0)</f>
        <v>#REF!</v>
      </c>
      <c r="EZ13" t="e">
        <f>IF(#REF!,"AAAAAG/d7ps=",0)</f>
        <v>#REF!</v>
      </c>
      <c r="FA13" t="e">
        <f>IF(#REF!,"AAAAAG/d7pw=",0)</f>
        <v>#REF!</v>
      </c>
      <c r="FB13" t="e">
        <f>IF(#REF!,"AAAAAG/d7p0=",0)</f>
        <v>#REF!</v>
      </c>
      <c r="FC13" t="e">
        <f>IF(#REF!,"AAAAAG/d7p4=",0)</f>
        <v>#REF!</v>
      </c>
      <c r="FD13" t="e">
        <f>IF(#REF!,"AAAAAG/d7p8=",0)</f>
        <v>#REF!</v>
      </c>
      <c r="FE13" t="e">
        <f>IF(#REF!,"AAAAAG/d7qA=",0)</f>
        <v>#REF!</v>
      </c>
      <c r="FF13" t="e">
        <f>IF(#REF!,"AAAAAG/d7qE=",0)</f>
        <v>#REF!</v>
      </c>
      <c r="FG13" t="e">
        <f>IF(#REF!,"AAAAAG/d7qI=",0)</f>
        <v>#REF!</v>
      </c>
      <c r="FH13" t="e">
        <f>IF(#REF!,"AAAAAG/d7qM=",0)</f>
        <v>#REF!</v>
      </c>
      <c r="FI13" t="e">
        <f>IF(#REF!,"AAAAAG/d7qQ=",0)</f>
        <v>#REF!</v>
      </c>
      <c r="FJ13" t="e">
        <f>IF(#REF!,"AAAAAG/d7qU=",0)</f>
        <v>#REF!</v>
      </c>
      <c r="FK13" t="e">
        <f>IF(#REF!,"AAAAAG/d7qY=",0)</f>
        <v>#REF!</v>
      </c>
      <c r="FL13" t="e">
        <f>IF(#REF!,"AAAAAG/d7qc=",0)</f>
        <v>#REF!</v>
      </c>
      <c r="FM13" t="e">
        <f>IF(#REF!,"AAAAAG/d7qg=",0)</f>
        <v>#REF!</v>
      </c>
      <c r="FN13" t="e">
        <f>IF(#REF!,"AAAAAG/d7qk=",0)</f>
        <v>#REF!</v>
      </c>
      <c r="FO13" t="e">
        <f>IF(#REF!,"AAAAAG/d7qo=",0)</f>
        <v>#REF!</v>
      </c>
      <c r="FP13" t="e">
        <f>IF(#REF!,"AAAAAG/d7qs=",0)</f>
        <v>#REF!</v>
      </c>
      <c r="FQ13" t="e">
        <f>IF(#REF!,"AAAAAG/d7qw=",0)</f>
        <v>#REF!</v>
      </c>
      <c r="FR13" t="e">
        <f>IF(#REF!,"AAAAAG/d7q0=",0)</f>
        <v>#REF!</v>
      </c>
      <c r="FS13" t="e">
        <f>IF(#REF!,"AAAAAG/d7q4=",0)</f>
        <v>#REF!</v>
      </c>
      <c r="FT13" t="e">
        <f>AND(#REF!,"AAAAAG/d7q8=")</f>
        <v>#REF!</v>
      </c>
      <c r="FU13" t="e">
        <f>AND(#REF!,"AAAAAG/d7rA=")</f>
        <v>#REF!</v>
      </c>
      <c r="FV13" t="e">
        <f>AND(#REF!,"AAAAAG/d7rE=")</f>
        <v>#REF!</v>
      </c>
      <c r="FW13" t="e">
        <f>AND(#REF!,"AAAAAG/d7rI=")</f>
        <v>#REF!</v>
      </c>
      <c r="FX13" t="e">
        <f>AND(#REF!,"AAAAAG/d7rM=")</f>
        <v>#REF!</v>
      </c>
      <c r="FY13" t="e">
        <f>AND(#REF!,"AAAAAG/d7rQ=")</f>
        <v>#REF!</v>
      </c>
      <c r="FZ13" t="e">
        <f>AND(#REF!,"AAAAAG/d7rU=")</f>
        <v>#REF!</v>
      </c>
      <c r="GA13" t="e">
        <f>AND(#REF!,"AAAAAG/d7rY=")</f>
        <v>#REF!</v>
      </c>
      <c r="GB13" t="e">
        <f>AND(#REF!,"AAAAAG/d7rc=")</f>
        <v>#REF!</v>
      </c>
      <c r="GC13" t="e">
        <f>AND(#REF!,"AAAAAG/d7rg=")</f>
        <v>#REF!</v>
      </c>
      <c r="GD13" t="e">
        <f>AND(#REF!,"AAAAAG/d7rk=")</f>
        <v>#REF!</v>
      </c>
      <c r="GE13" t="e">
        <f>AND(#REF!,"AAAAAG/d7ro=")</f>
        <v>#REF!</v>
      </c>
      <c r="GF13" t="e">
        <f>AND(#REF!,"AAAAAG/d7rs=")</f>
        <v>#REF!</v>
      </c>
      <c r="GG13" t="e">
        <f>AND(#REF!,"AAAAAG/d7rw=")</f>
        <v>#REF!</v>
      </c>
      <c r="GH13" t="e">
        <f>AND(#REF!,"AAAAAG/d7r0=")</f>
        <v>#REF!</v>
      </c>
      <c r="GI13" t="e">
        <f>AND(#REF!,"AAAAAG/d7r4=")</f>
        <v>#REF!</v>
      </c>
      <c r="GJ13" t="e">
        <f>AND(#REF!,"AAAAAG/d7r8=")</f>
        <v>#REF!</v>
      </c>
      <c r="GK13" t="e">
        <f>IF(#REF!,"AAAAAG/d7sA=",0)</f>
        <v>#REF!</v>
      </c>
      <c r="GL13" t="e">
        <f>AND(#REF!,"AAAAAG/d7sE=")</f>
        <v>#REF!</v>
      </c>
      <c r="GM13" t="e">
        <f>AND(#REF!,"AAAAAG/d7sI=")</f>
        <v>#REF!</v>
      </c>
      <c r="GN13" t="e">
        <f>AND(#REF!,"AAAAAG/d7sM=")</f>
        <v>#REF!</v>
      </c>
      <c r="GO13" t="e">
        <f>AND(#REF!,"AAAAAG/d7sQ=")</f>
        <v>#REF!</v>
      </c>
      <c r="GP13" t="e">
        <f>AND(#REF!,"AAAAAG/d7sU=")</f>
        <v>#REF!</v>
      </c>
      <c r="GQ13" t="e">
        <f>AND(#REF!,"AAAAAG/d7sY=")</f>
        <v>#REF!</v>
      </c>
      <c r="GR13" t="e">
        <f>AND(#REF!,"AAAAAG/d7sc=")</f>
        <v>#REF!</v>
      </c>
      <c r="GS13" t="e">
        <f>AND(#REF!,"AAAAAG/d7sg=")</f>
        <v>#REF!</v>
      </c>
      <c r="GT13" t="e">
        <f>AND(#REF!,"AAAAAG/d7sk=")</f>
        <v>#REF!</v>
      </c>
      <c r="GU13" t="e">
        <f>AND(#REF!,"AAAAAG/d7so=")</f>
        <v>#REF!</v>
      </c>
      <c r="GV13" t="e">
        <f>AND(#REF!,"AAAAAG/d7ss=")</f>
        <v>#REF!</v>
      </c>
      <c r="GW13" t="e">
        <f>AND(#REF!,"AAAAAG/d7sw=")</f>
        <v>#REF!</v>
      </c>
      <c r="GX13" t="e">
        <f>AND(#REF!,"AAAAAG/d7s0=")</f>
        <v>#REF!</v>
      </c>
      <c r="GY13" t="e">
        <f>AND(#REF!,"AAAAAG/d7s4=")</f>
        <v>#REF!</v>
      </c>
      <c r="GZ13" t="e">
        <f>AND(#REF!,"AAAAAG/d7s8=")</f>
        <v>#REF!</v>
      </c>
      <c r="HA13" t="e">
        <f>AND(#REF!,"AAAAAG/d7tA=")</f>
        <v>#REF!</v>
      </c>
      <c r="HB13" t="e">
        <f>AND(#REF!,"AAAAAG/d7tE=")</f>
        <v>#REF!</v>
      </c>
      <c r="HC13" t="e">
        <f>IF(#REF!,"AAAAAG/d7tI=",0)</f>
        <v>#REF!</v>
      </c>
      <c r="HD13" t="e">
        <f>AND(#REF!,"AAAAAG/d7tM=")</f>
        <v>#REF!</v>
      </c>
      <c r="HE13" t="e">
        <f>AND(#REF!,"AAAAAG/d7tQ=")</f>
        <v>#REF!</v>
      </c>
      <c r="HF13" t="e">
        <f>AND(#REF!,"AAAAAG/d7tU=")</f>
        <v>#REF!</v>
      </c>
      <c r="HG13" t="e">
        <f>AND(#REF!,"AAAAAG/d7tY=")</f>
        <v>#REF!</v>
      </c>
      <c r="HH13" t="e">
        <f>AND(#REF!,"AAAAAG/d7tc=")</f>
        <v>#REF!</v>
      </c>
      <c r="HI13" t="e">
        <f>AND(#REF!,"AAAAAG/d7tg=")</f>
        <v>#REF!</v>
      </c>
      <c r="HJ13" t="e">
        <f>AND(#REF!,"AAAAAG/d7tk=")</f>
        <v>#REF!</v>
      </c>
      <c r="HK13" t="e">
        <f>AND(#REF!,"AAAAAG/d7to=")</f>
        <v>#REF!</v>
      </c>
      <c r="HL13" t="e">
        <f>AND(#REF!,"AAAAAG/d7ts=")</f>
        <v>#REF!</v>
      </c>
      <c r="HM13" t="e">
        <f>AND(#REF!,"AAAAAG/d7tw=")</f>
        <v>#REF!</v>
      </c>
      <c r="HN13" t="e">
        <f>AND(#REF!,"AAAAAG/d7t0=")</f>
        <v>#REF!</v>
      </c>
      <c r="HO13" t="e">
        <f>AND(#REF!,"AAAAAG/d7t4=")</f>
        <v>#REF!</v>
      </c>
      <c r="HP13" t="e">
        <f>AND(#REF!,"AAAAAG/d7t8=")</f>
        <v>#REF!</v>
      </c>
      <c r="HQ13" t="e">
        <f>AND(#REF!,"AAAAAG/d7uA=")</f>
        <v>#REF!</v>
      </c>
      <c r="HR13" t="e">
        <f>AND(#REF!,"AAAAAG/d7uE=")</f>
        <v>#REF!</v>
      </c>
      <c r="HS13" t="e">
        <f>AND(#REF!,"AAAAAG/d7uI=")</f>
        <v>#REF!</v>
      </c>
      <c r="HT13" t="e">
        <f>AND(#REF!,"AAAAAG/d7uM=")</f>
        <v>#REF!</v>
      </c>
      <c r="HU13" t="e">
        <f>IF(#REF!,"AAAAAG/d7uQ=",0)</f>
        <v>#REF!</v>
      </c>
      <c r="HV13" t="e">
        <f>AND(#REF!,"AAAAAG/d7uU=")</f>
        <v>#REF!</v>
      </c>
      <c r="HW13" t="e">
        <f>AND(#REF!,"AAAAAG/d7uY=")</f>
        <v>#REF!</v>
      </c>
      <c r="HX13" t="e">
        <f>AND(#REF!,"AAAAAG/d7uc=")</f>
        <v>#REF!</v>
      </c>
      <c r="HY13" t="e">
        <f>AND(#REF!,"AAAAAG/d7ug=")</f>
        <v>#REF!</v>
      </c>
      <c r="HZ13" t="e">
        <f>AND(#REF!,"AAAAAG/d7uk=")</f>
        <v>#REF!</v>
      </c>
      <c r="IA13" t="e">
        <f>AND(#REF!,"AAAAAG/d7uo=")</f>
        <v>#REF!</v>
      </c>
      <c r="IB13" t="e">
        <f>AND(#REF!,"AAAAAG/d7us=")</f>
        <v>#REF!</v>
      </c>
      <c r="IC13" t="e">
        <f>AND(#REF!,"AAAAAG/d7uw=")</f>
        <v>#REF!</v>
      </c>
      <c r="ID13" t="e">
        <f>AND(#REF!,"AAAAAG/d7u0=")</f>
        <v>#REF!</v>
      </c>
      <c r="IE13" t="e">
        <f>AND(#REF!,"AAAAAG/d7u4=")</f>
        <v>#REF!</v>
      </c>
      <c r="IF13" t="e">
        <f>AND(#REF!,"AAAAAG/d7u8=")</f>
        <v>#REF!</v>
      </c>
      <c r="IG13" t="e">
        <f>AND(#REF!,"AAAAAG/d7vA=")</f>
        <v>#REF!</v>
      </c>
      <c r="IH13" t="e">
        <f>AND(#REF!,"AAAAAG/d7vE=")</f>
        <v>#REF!</v>
      </c>
      <c r="II13" t="e">
        <f>AND(#REF!,"AAAAAG/d7vI=")</f>
        <v>#REF!</v>
      </c>
      <c r="IJ13" t="e">
        <f>AND(#REF!,"AAAAAG/d7vM=")</f>
        <v>#REF!</v>
      </c>
      <c r="IK13" t="e">
        <f>AND(#REF!,"AAAAAG/d7vQ=")</f>
        <v>#REF!</v>
      </c>
      <c r="IL13" t="e">
        <f>AND(#REF!,"AAAAAG/d7vU=")</f>
        <v>#REF!</v>
      </c>
      <c r="IM13" t="e">
        <f>IF(#REF!,"AAAAAG/d7vY=",0)</f>
        <v>#REF!</v>
      </c>
      <c r="IN13" t="e">
        <f>AND(#REF!,"AAAAAG/d7vc=")</f>
        <v>#REF!</v>
      </c>
      <c r="IO13" t="e">
        <f>AND(#REF!,"AAAAAG/d7vg=")</f>
        <v>#REF!</v>
      </c>
      <c r="IP13" t="e">
        <f>AND(#REF!,"AAAAAG/d7vk=")</f>
        <v>#REF!</v>
      </c>
      <c r="IQ13" t="e">
        <f>AND(#REF!,"AAAAAG/d7vo=")</f>
        <v>#REF!</v>
      </c>
      <c r="IR13" t="e">
        <f>AND(#REF!,"AAAAAG/d7vs=")</f>
        <v>#REF!</v>
      </c>
      <c r="IS13" t="e">
        <f>AND(#REF!,"AAAAAG/d7vw=")</f>
        <v>#REF!</v>
      </c>
      <c r="IT13" t="e">
        <f>AND(#REF!,"AAAAAG/d7v0=")</f>
        <v>#REF!</v>
      </c>
      <c r="IU13" t="e">
        <f>AND(#REF!,"AAAAAG/d7v4=")</f>
        <v>#REF!</v>
      </c>
      <c r="IV13" t="e">
        <f>AND(#REF!,"AAAAAG/d7v8=")</f>
        <v>#REF!</v>
      </c>
    </row>
    <row r="14" spans="1:256">
      <c r="A14" t="e">
        <f>AND(#REF!,"AAAAAHedcQA=")</f>
        <v>#REF!</v>
      </c>
      <c r="B14" t="e">
        <f>AND(#REF!,"AAAAAHedcQE=")</f>
        <v>#REF!</v>
      </c>
      <c r="C14" t="e">
        <f>AND(#REF!,"AAAAAHedcQI=")</f>
        <v>#REF!</v>
      </c>
      <c r="D14" t="e">
        <f>AND(#REF!,"AAAAAHedcQM=")</f>
        <v>#REF!</v>
      </c>
      <c r="E14" t="e">
        <f>AND(#REF!,"AAAAAHedcQQ=")</f>
        <v>#REF!</v>
      </c>
      <c r="F14" t="e">
        <f>AND(#REF!,"AAAAAHedcQU=")</f>
        <v>#REF!</v>
      </c>
      <c r="G14" t="e">
        <f>AND(#REF!,"AAAAAHedcQY=")</f>
        <v>#REF!</v>
      </c>
      <c r="H14" t="e">
        <f>AND(#REF!,"AAAAAHedcQc=")</f>
        <v>#REF!</v>
      </c>
      <c r="I14" t="e">
        <f>IF(#REF!,"AAAAAHedcQg=",0)</f>
        <v>#REF!</v>
      </c>
      <c r="J14" t="e">
        <f>AND(#REF!,"AAAAAHedcQk=")</f>
        <v>#REF!</v>
      </c>
      <c r="K14" t="e">
        <f>AND(#REF!,"AAAAAHedcQo=")</f>
        <v>#REF!</v>
      </c>
      <c r="L14" t="e">
        <f>AND(#REF!,"AAAAAHedcQs=")</f>
        <v>#REF!</v>
      </c>
      <c r="M14" t="e">
        <f>AND(#REF!,"AAAAAHedcQw=")</f>
        <v>#REF!</v>
      </c>
      <c r="N14" t="e">
        <f>AND(#REF!,"AAAAAHedcQ0=")</f>
        <v>#REF!</v>
      </c>
      <c r="O14" t="e">
        <f>AND(#REF!,"AAAAAHedcQ4=")</f>
        <v>#REF!</v>
      </c>
      <c r="P14" t="e">
        <f>AND(#REF!,"AAAAAHedcQ8=")</f>
        <v>#REF!</v>
      </c>
      <c r="Q14" t="e">
        <f>AND(#REF!,"AAAAAHedcRA=")</f>
        <v>#REF!</v>
      </c>
      <c r="R14" t="e">
        <f>AND(#REF!,"AAAAAHedcRE=")</f>
        <v>#REF!</v>
      </c>
      <c r="S14" t="e">
        <f>AND(#REF!,"AAAAAHedcRI=")</f>
        <v>#REF!</v>
      </c>
      <c r="T14" t="e">
        <f>AND(#REF!,"AAAAAHedcRM=")</f>
        <v>#REF!</v>
      </c>
      <c r="U14" t="e">
        <f>AND(#REF!,"AAAAAHedcRQ=")</f>
        <v>#REF!</v>
      </c>
      <c r="V14" t="e">
        <f>AND(#REF!,"AAAAAHedcRU=")</f>
        <v>#REF!</v>
      </c>
      <c r="W14" t="e">
        <f>AND(#REF!,"AAAAAHedcRY=")</f>
        <v>#REF!</v>
      </c>
      <c r="X14" t="e">
        <f>AND(#REF!,"AAAAAHedcRc=")</f>
        <v>#REF!</v>
      </c>
      <c r="Y14" t="e">
        <f>AND(#REF!,"AAAAAHedcRg=")</f>
        <v>#REF!</v>
      </c>
      <c r="Z14" t="e">
        <f>AND(#REF!,"AAAAAHedcRk=")</f>
        <v>#REF!</v>
      </c>
      <c r="AA14" t="e">
        <f>IF(#REF!,"AAAAAHedcRo=",0)</f>
        <v>#REF!</v>
      </c>
      <c r="AB14" t="e">
        <f>AND(#REF!,"AAAAAHedcRs=")</f>
        <v>#REF!</v>
      </c>
      <c r="AC14" t="e">
        <f>AND(#REF!,"AAAAAHedcRw=")</f>
        <v>#REF!</v>
      </c>
      <c r="AD14" t="e">
        <f>AND(#REF!,"AAAAAHedcR0=")</f>
        <v>#REF!</v>
      </c>
      <c r="AE14" t="e">
        <f>AND(#REF!,"AAAAAHedcR4=")</f>
        <v>#REF!</v>
      </c>
      <c r="AF14" t="e">
        <f>AND(#REF!,"AAAAAHedcR8=")</f>
        <v>#REF!</v>
      </c>
      <c r="AG14" t="e">
        <f>AND(#REF!,"AAAAAHedcSA=")</f>
        <v>#REF!</v>
      </c>
      <c r="AH14" t="e">
        <f>AND(#REF!,"AAAAAHedcSE=")</f>
        <v>#REF!</v>
      </c>
      <c r="AI14" t="e">
        <f>AND(#REF!,"AAAAAHedcSI=")</f>
        <v>#REF!</v>
      </c>
      <c r="AJ14" t="e">
        <f>AND(#REF!,"AAAAAHedcSM=")</f>
        <v>#REF!</v>
      </c>
      <c r="AK14" t="e">
        <f>AND(#REF!,"AAAAAHedcSQ=")</f>
        <v>#REF!</v>
      </c>
      <c r="AL14" t="e">
        <f>AND(#REF!,"AAAAAHedcSU=")</f>
        <v>#REF!</v>
      </c>
      <c r="AM14" t="e">
        <f>AND(#REF!,"AAAAAHedcSY=")</f>
        <v>#REF!</v>
      </c>
      <c r="AN14" t="e">
        <f>AND(#REF!,"AAAAAHedcSc=")</f>
        <v>#REF!</v>
      </c>
      <c r="AO14" t="e">
        <f>AND(#REF!,"AAAAAHedcSg=")</f>
        <v>#REF!</v>
      </c>
      <c r="AP14" t="e">
        <f>AND(#REF!,"AAAAAHedcSk=")</f>
        <v>#REF!</v>
      </c>
      <c r="AQ14" t="e">
        <f>AND(#REF!,"AAAAAHedcSo=")</f>
        <v>#REF!</v>
      </c>
      <c r="AR14" t="e">
        <f>AND(#REF!,"AAAAAHedcSs=")</f>
        <v>#REF!</v>
      </c>
      <c r="AS14" t="e">
        <f>IF(#REF!,"AAAAAHedcSw=",0)</f>
        <v>#REF!</v>
      </c>
      <c r="AT14" t="e">
        <f>AND(#REF!,"AAAAAHedcS0=")</f>
        <v>#REF!</v>
      </c>
      <c r="AU14" t="e">
        <f>AND(#REF!,"AAAAAHedcS4=")</f>
        <v>#REF!</v>
      </c>
      <c r="AV14" t="e">
        <f>AND(#REF!,"AAAAAHedcS8=")</f>
        <v>#REF!</v>
      </c>
      <c r="AW14" t="e">
        <f>AND(#REF!,"AAAAAHedcTA=")</f>
        <v>#REF!</v>
      </c>
      <c r="AX14" t="e">
        <f>AND(#REF!,"AAAAAHedcTE=")</f>
        <v>#REF!</v>
      </c>
      <c r="AY14" t="e">
        <f>AND(#REF!,"AAAAAHedcTI=")</f>
        <v>#REF!</v>
      </c>
      <c r="AZ14" t="e">
        <f>AND(#REF!,"AAAAAHedcTM=")</f>
        <v>#REF!</v>
      </c>
      <c r="BA14" t="e">
        <f>AND(#REF!,"AAAAAHedcTQ=")</f>
        <v>#REF!</v>
      </c>
      <c r="BB14" t="e">
        <f>AND(#REF!,"AAAAAHedcTU=")</f>
        <v>#REF!</v>
      </c>
      <c r="BC14" t="e">
        <f>AND(#REF!,"AAAAAHedcTY=")</f>
        <v>#REF!</v>
      </c>
      <c r="BD14" t="e">
        <f>AND(#REF!,"AAAAAHedcTc=")</f>
        <v>#REF!</v>
      </c>
      <c r="BE14" t="e">
        <f>AND(#REF!,"AAAAAHedcTg=")</f>
        <v>#REF!</v>
      </c>
      <c r="BF14" t="e">
        <f>AND(#REF!,"AAAAAHedcTk=")</f>
        <v>#REF!</v>
      </c>
      <c r="BG14" t="e">
        <f>AND(#REF!,"AAAAAHedcTo=")</f>
        <v>#REF!</v>
      </c>
      <c r="BH14" t="e">
        <f>AND(#REF!,"AAAAAHedcTs=")</f>
        <v>#REF!</v>
      </c>
      <c r="BI14" t="e">
        <f>AND(#REF!,"AAAAAHedcTw=")</f>
        <v>#REF!</v>
      </c>
      <c r="BJ14" t="e">
        <f>AND(#REF!,"AAAAAHedcT0=")</f>
        <v>#REF!</v>
      </c>
      <c r="BK14" t="e">
        <f>IF(#REF!,"AAAAAHedcT4=",0)</f>
        <v>#REF!</v>
      </c>
      <c r="BL14" t="e">
        <f>AND(#REF!,"AAAAAHedcT8=")</f>
        <v>#REF!</v>
      </c>
      <c r="BM14" t="e">
        <f>AND(#REF!,"AAAAAHedcUA=")</f>
        <v>#REF!</v>
      </c>
      <c r="BN14" t="e">
        <f>AND(#REF!,"AAAAAHedcUE=")</f>
        <v>#REF!</v>
      </c>
      <c r="BO14" t="e">
        <f>AND(#REF!,"AAAAAHedcUI=")</f>
        <v>#REF!</v>
      </c>
      <c r="BP14" t="e">
        <f>AND(#REF!,"AAAAAHedcUM=")</f>
        <v>#REF!</v>
      </c>
      <c r="BQ14" t="e">
        <f>AND(#REF!,"AAAAAHedcUQ=")</f>
        <v>#REF!</v>
      </c>
      <c r="BR14" t="e">
        <f>AND(#REF!,"AAAAAHedcUU=")</f>
        <v>#REF!</v>
      </c>
      <c r="BS14" t="e">
        <f>AND(#REF!,"AAAAAHedcUY=")</f>
        <v>#REF!</v>
      </c>
      <c r="BT14" t="e">
        <f>AND(#REF!,"AAAAAHedcUc=")</f>
        <v>#REF!</v>
      </c>
      <c r="BU14" t="e">
        <f>AND(#REF!,"AAAAAHedcUg=")</f>
        <v>#REF!</v>
      </c>
      <c r="BV14" t="e">
        <f>AND(#REF!,"AAAAAHedcUk=")</f>
        <v>#REF!</v>
      </c>
      <c r="BW14" t="e">
        <f>AND(#REF!,"AAAAAHedcUo=")</f>
        <v>#REF!</v>
      </c>
      <c r="BX14" t="e">
        <f>AND(#REF!,"AAAAAHedcUs=")</f>
        <v>#REF!</v>
      </c>
      <c r="BY14" t="e">
        <f>AND(#REF!,"AAAAAHedcUw=")</f>
        <v>#REF!</v>
      </c>
      <c r="BZ14" t="e">
        <f>AND(#REF!,"AAAAAHedcU0=")</f>
        <v>#REF!</v>
      </c>
      <c r="CA14" t="e">
        <f>AND(#REF!,"AAAAAHedcU4=")</f>
        <v>#REF!</v>
      </c>
      <c r="CB14" t="e">
        <f>AND(#REF!,"AAAAAHedcU8=")</f>
        <v>#REF!</v>
      </c>
      <c r="CC14" t="e">
        <f>IF(#REF!,"AAAAAHedcVA=",0)</f>
        <v>#REF!</v>
      </c>
      <c r="CD14" t="e">
        <f>AND(#REF!,"AAAAAHedcVE=")</f>
        <v>#REF!</v>
      </c>
      <c r="CE14" t="e">
        <f>AND(#REF!,"AAAAAHedcVI=")</f>
        <v>#REF!</v>
      </c>
      <c r="CF14" t="e">
        <f>AND(#REF!,"AAAAAHedcVM=")</f>
        <v>#REF!</v>
      </c>
      <c r="CG14" t="e">
        <f>AND(#REF!,"AAAAAHedcVQ=")</f>
        <v>#REF!</v>
      </c>
      <c r="CH14" t="e">
        <f>AND(#REF!,"AAAAAHedcVU=")</f>
        <v>#REF!</v>
      </c>
      <c r="CI14" t="e">
        <f>AND(#REF!,"AAAAAHedcVY=")</f>
        <v>#REF!</v>
      </c>
      <c r="CJ14" t="e">
        <f>AND(#REF!,"AAAAAHedcVc=")</f>
        <v>#REF!</v>
      </c>
      <c r="CK14" t="e">
        <f>AND(#REF!,"AAAAAHedcVg=")</f>
        <v>#REF!</v>
      </c>
      <c r="CL14" t="e">
        <f>AND(#REF!,"AAAAAHedcVk=")</f>
        <v>#REF!</v>
      </c>
      <c r="CM14" t="e">
        <f>AND(#REF!,"AAAAAHedcVo=")</f>
        <v>#REF!</v>
      </c>
      <c r="CN14" t="e">
        <f>AND(#REF!,"AAAAAHedcVs=")</f>
        <v>#REF!</v>
      </c>
      <c r="CO14" t="e">
        <f>AND(#REF!,"AAAAAHedcVw=")</f>
        <v>#REF!</v>
      </c>
      <c r="CP14" t="e">
        <f>AND(#REF!,"AAAAAHedcV0=")</f>
        <v>#REF!</v>
      </c>
      <c r="CQ14" t="e">
        <f>AND(#REF!,"AAAAAHedcV4=")</f>
        <v>#REF!</v>
      </c>
      <c r="CR14" t="e">
        <f>AND(#REF!,"AAAAAHedcV8=")</f>
        <v>#REF!</v>
      </c>
      <c r="CS14" t="e">
        <f>AND(#REF!,"AAAAAHedcWA=")</f>
        <v>#REF!</v>
      </c>
      <c r="CT14" t="e">
        <f>AND(#REF!,"AAAAAHedcWE=")</f>
        <v>#REF!</v>
      </c>
      <c r="CU14" t="e">
        <f>IF(#REF!,"AAAAAHedcWI=",0)</f>
        <v>#REF!</v>
      </c>
      <c r="CV14" t="e">
        <f>AND(#REF!,"AAAAAHedcWM=")</f>
        <v>#REF!</v>
      </c>
      <c r="CW14" t="e">
        <f>AND(#REF!,"AAAAAHedcWQ=")</f>
        <v>#REF!</v>
      </c>
      <c r="CX14" t="e">
        <f>AND(#REF!,"AAAAAHedcWU=")</f>
        <v>#REF!</v>
      </c>
      <c r="CY14" t="e">
        <f>AND(#REF!,"AAAAAHedcWY=")</f>
        <v>#REF!</v>
      </c>
      <c r="CZ14" t="e">
        <f>AND(#REF!,"AAAAAHedcWc=")</f>
        <v>#REF!</v>
      </c>
      <c r="DA14" t="e">
        <f>AND(#REF!,"AAAAAHedcWg=")</f>
        <v>#REF!</v>
      </c>
      <c r="DB14" t="e">
        <f>AND(#REF!,"AAAAAHedcWk=")</f>
        <v>#REF!</v>
      </c>
      <c r="DC14" t="e">
        <f>AND(#REF!,"AAAAAHedcWo=")</f>
        <v>#REF!</v>
      </c>
      <c r="DD14" t="e">
        <f>AND(#REF!,"AAAAAHedcWs=")</f>
        <v>#REF!</v>
      </c>
      <c r="DE14" t="e">
        <f>AND(#REF!,"AAAAAHedcWw=")</f>
        <v>#REF!</v>
      </c>
      <c r="DF14" t="e">
        <f>AND(#REF!,"AAAAAHedcW0=")</f>
        <v>#REF!</v>
      </c>
      <c r="DG14" t="e">
        <f>AND(#REF!,"AAAAAHedcW4=")</f>
        <v>#REF!</v>
      </c>
      <c r="DH14" t="e">
        <f>AND(#REF!,"AAAAAHedcW8=")</f>
        <v>#REF!</v>
      </c>
      <c r="DI14" t="e">
        <f>AND(#REF!,"AAAAAHedcXA=")</f>
        <v>#REF!</v>
      </c>
      <c r="DJ14" t="e">
        <f>AND(#REF!,"AAAAAHedcXE=")</f>
        <v>#REF!</v>
      </c>
      <c r="DK14" t="e">
        <f>AND(#REF!,"AAAAAHedcXI=")</f>
        <v>#REF!</v>
      </c>
      <c r="DL14" t="e">
        <f>AND(#REF!,"AAAAAHedcXM=")</f>
        <v>#REF!</v>
      </c>
      <c r="DM14" t="e">
        <f>IF(#REF!,"AAAAAHedcXQ=",0)</f>
        <v>#REF!</v>
      </c>
      <c r="DN14" t="e">
        <f>AND(#REF!,"AAAAAHedcXU=")</f>
        <v>#REF!</v>
      </c>
      <c r="DO14" t="e">
        <f>AND(#REF!,"AAAAAHedcXY=")</f>
        <v>#REF!</v>
      </c>
      <c r="DP14" t="e">
        <f>AND(#REF!,"AAAAAHedcXc=")</f>
        <v>#REF!</v>
      </c>
      <c r="DQ14" t="e">
        <f>AND(#REF!,"AAAAAHedcXg=")</f>
        <v>#REF!</v>
      </c>
      <c r="DR14" t="e">
        <f>AND(#REF!,"AAAAAHedcXk=")</f>
        <v>#REF!</v>
      </c>
      <c r="DS14" t="e">
        <f>AND(#REF!,"AAAAAHedcXo=")</f>
        <v>#REF!</v>
      </c>
      <c r="DT14" t="e">
        <f>AND(#REF!,"AAAAAHedcXs=")</f>
        <v>#REF!</v>
      </c>
      <c r="DU14" t="e">
        <f>AND(#REF!,"AAAAAHedcXw=")</f>
        <v>#REF!</v>
      </c>
      <c r="DV14" t="e">
        <f>AND(#REF!,"AAAAAHedcX0=")</f>
        <v>#REF!</v>
      </c>
      <c r="DW14" t="e">
        <f>AND(#REF!,"AAAAAHedcX4=")</f>
        <v>#REF!</v>
      </c>
      <c r="DX14" t="e">
        <f>AND(#REF!,"AAAAAHedcX8=")</f>
        <v>#REF!</v>
      </c>
      <c r="DY14" t="e">
        <f>AND(#REF!,"AAAAAHedcYA=")</f>
        <v>#REF!</v>
      </c>
      <c r="DZ14" t="e">
        <f>AND(#REF!,"AAAAAHedcYE=")</f>
        <v>#REF!</v>
      </c>
      <c r="EA14" t="e">
        <f>AND(#REF!,"AAAAAHedcYI=")</f>
        <v>#REF!</v>
      </c>
      <c r="EB14" t="e">
        <f>AND(#REF!,"AAAAAHedcYM=")</f>
        <v>#REF!</v>
      </c>
      <c r="EC14" t="e">
        <f>AND(#REF!,"AAAAAHedcYQ=")</f>
        <v>#REF!</v>
      </c>
      <c r="ED14" t="e">
        <f>AND(#REF!,"AAAAAHedcYU=")</f>
        <v>#REF!</v>
      </c>
      <c r="EE14" t="e">
        <f>IF(#REF!,"AAAAAHedcYY=",0)</f>
        <v>#REF!</v>
      </c>
      <c r="EF14" t="e">
        <f>AND(#REF!,"AAAAAHedcYc=")</f>
        <v>#REF!</v>
      </c>
      <c r="EG14" t="e">
        <f>AND(#REF!,"AAAAAHedcYg=")</f>
        <v>#REF!</v>
      </c>
      <c r="EH14" t="e">
        <f>AND(#REF!,"AAAAAHedcYk=")</f>
        <v>#REF!</v>
      </c>
      <c r="EI14" t="e">
        <f>AND(#REF!,"AAAAAHedcYo=")</f>
        <v>#REF!</v>
      </c>
      <c r="EJ14" t="e">
        <f>AND(#REF!,"AAAAAHedcYs=")</f>
        <v>#REF!</v>
      </c>
      <c r="EK14" t="e">
        <f>AND(#REF!,"AAAAAHedcYw=")</f>
        <v>#REF!</v>
      </c>
      <c r="EL14" t="e">
        <f>AND(#REF!,"AAAAAHedcY0=")</f>
        <v>#REF!</v>
      </c>
      <c r="EM14" t="e">
        <f>AND(#REF!,"AAAAAHedcY4=")</f>
        <v>#REF!</v>
      </c>
      <c r="EN14" t="e">
        <f>AND(#REF!,"AAAAAHedcY8=")</f>
        <v>#REF!</v>
      </c>
      <c r="EO14" t="e">
        <f>AND(#REF!,"AAAAAHedcZA=")</f>
        <v>#REF!</v>
      </c>
      <c r="EP14" t="e">
        <f>AND(#REF!,"AAAAAHedcZE=")</f>
        <v>#REF!</v>
      </c>
      <c r="EQ14" t="e">
        <f>AND(#REF!,"AAAAAHedcZI=")</f>
        <v>#REF!</v>
      </c>
      <c r="ER14" t="e">
        <f>AND(#REF!,"AAAAAHedcZM=")</f>
        <v>#REF!</v>
      </c>
      <c r="ES14" t="e">
        <f>AND(#REF!,"AAAAAHedcZQ=")</f>
        <v>#REF!</v>
      </c>
      <c r="ET14" t="e">
        <f>AND(#REF!,"AAAAAHedcZU=")</f>
        <v>#REF!</v>
      </c>
      <c r="EU14" t="e">
        <f>AND(#REF!,"AAAAAHedcZY=")</f>
        <v>#REF!</v>
      </c>
      <c r="EV14" t="e">
        <f>AND(#REF!,"AAAAAHedcZc=")</f>
        <v>#REF!</v>
      </c>
      <c r="EW14" t="e">
        <f>IF(#REF!,"AAAAAHedcZg=",0)</f>
        <v>#REF!</v>
      </c>
      <c r="EX14" t="e">
        <f>AND(#REF!,"AAAAAHedcZk=")</f>
        <v>#REF!</v>
      </c>
      <c r="EY14" t="e">
        <f>AND(#REF!,"AAAAAHedcZo=")</f>
        <v>#REF!</v>
      </c>
      <c r="EZ14" t="e">
        <f>AND(#REF!,"AAAAAHedcZs=")</f>
        <v>#REF!</v>
      </c>
      <c r="FA14" t="e">
        <f>AND(#REF!,"AAAAAHedcZw=")</f>
        <v>#REF!</v>
      </c>
      <c r="FB14" t="e">
        <f>AND(#REF!,"AAAAAHedcZ0=")</f>
        <v>#REF!</v>
      </c>
      <c r="FC14" t="e">
        <f>AND(#REF!,"AAAAAHedcZ4=")</f>
        <v>#REF!</v>
      </c>
      <c r="FD14" t="e">
        <f>AND(#REF!,"AAAAAHedcZ8=")</f>
        <v>#REF!</v>
      </c>
      <c r="FE14" t="e">
        <f>AND(#REF!,"AAAAAHedcaA=")</f>
        <v>#REF!</v>
      </c>
      <c r="FF14" t="e">
        <f>AND(#REF!,"AAAAAHedcaE=")</f>
        <v>#REF!</v>
      </c>
      <c r="FG14" t="e">
        <f>AND(#REF!,"AAAAAHedcaI=")</f>
        <v>#REF!</v>
      </c>
      <c r="FH14" t="e">
        <f>AND(#REF!,"AAAAAHedcaM=")</f>
        <v>#REF!</v>
      </c>
      <c r="FI14" t="e">
        <f>AND(#REF!,"AAAAAHedcaQ=")</f>
        <v>#REF!</v>
      </c>
      <c r="FJ14" t="e">
        <f>AND(#REF!,"AAAAAHedcaU=")</f>
        <v>#REF!</v>
      </c>
      <c r="FK14" t="e">
        <f>AND(#REF!,"AAAAAHedcaY=")</f>
        <v>#REF!</v>
      </c>
      <c r="FL14" t="e">
        <f>AND(#REF!,"AAAAAHedcac=")</f>
        <v>#REF!</v>
      </c>
      <c r="FM14" t="e">
        <f>AND(#REF!,"AAAAAHedcag=")</f>
        <v>#REF!</v>
      </c>
      <c r="FN14" t="e">
        <f>AND(#REF!,"AAAAAHedcak=")</f>
        <v>#REF!</v>
      </c>
      <c r="FO14" t="e">
        <f>IF(#REF!,"AAAAAHedcao=",0)</f>
        <v>#REF!</v>
      </c>
      <c r="FP14" t="e">
        <f>AND(#REF!,"AAAAAHedcas=")</f>
        <v>#REF!</v>
      </c>
      <c r="FQ14" t="e">
        <f>AND(#REF!,"AAAAAHedcaw=")</f>
        <v>#REF!</v>
      </c>
      <c r="FR14" t="e">
        <f>AND(#REF!,"AAAAAHedca0=")</f>
        <v>#REF!</v>
      </c>
      <c r="FS14" t="e">
        <f>AND(#REF!,"AAAAAHedca4=")</f>
        <v>#REF!</v>
      </c>
      <c r="FT14" t="e">
        <f>AND(#REF!,"AAAAAHedca8=")</f>
        <v>#REF!</v>
      </c>
      <c r="FU14" t="e">
        <f>AND(#REF!,"AAAAAHedcbA=")</f>
        <v>#REF!</v>
      </c>
      <c r="FV14" t="e">
        <f>AND(#REF!,"AAAAAHedcbE=")</f>
        <v>#REF!</v>
      </c>
      <c r="FW14" t="e">
        <f>AND(#REF!,"AAAAAHedcbI=")</f>
        <v>#REF!</v>
      </c>
      <c r="FX14" t="e">
        <f>AND(#REF!,"AAAAAHedcbM=")</f>
        <v>#REF!</v>
      </c>
      <c r="FY14" t="e">
        <f>AND(#REF!,"AAAAAHedcbQ=")</f>
        <v>#REF!</v>
      </c>
      <c r="FZ14" t="e">
        <f>AND(#REF!,"AAAAAHedcbU=")</f>
        <v>#REF!</v>
      </c>
      <c r="GA14" t="e">
        <f>AND(#REF!,"AAAAAHedcbY=")</f>
        <v>#REF!</v>
      </c>
      <c r="GB14" t="e">
        <f>AND(#REF!,"AAAAAHedcbc=")</f>
        <v>#REF!</v>
      </c>
      <c r="GC14" t="e">
        <f>AND(#REF!,"AAAAAHedcbg=")</f>
        <v>#REF!</v>
      </c>
      <c r="GD14" t="e">
        <f>AND(#REF!,"AAAAAHedcbk=")</f>
        <v>#REF!</v>
      </c>
      <c r="GE14" t="e">
        <f>AND(#REF!,"AAAAAHedcbo=")</f>
        <v>#REF!</v>
      </c>
      <c r="GF14" t="e">
        <f>AND(#REF!,"AAAAAHedcbs=")</f>
        <v>#REF!</v>
      </c>
      <c r="GG14" t="e">
        <f>IF(#REF!,"AAAAAHedcbw=",0)</f>
        <v>#REF!</v>
      </c>
      <c r="GH14" t="e">
        <f>AND(#REF!,"AAAAAHedcb0=")</f>
        <v>#REF!</v>
      </c>
      <c r="GI14" t="e">
        <f>AND(#REF!,"AAAAAHedcb4=")</f>
        <v>#REF!</v>
      </c>
      <c r="GJ14" t="e">
        <f>AND(#REF!,"AAAAAHedcb8=")</f>
        <v>#REF!</v>
      </c>
      <c r="GK14" t="e">
        <f>AND(#REF!,"AAAAAHedccA=")</f>
        <v>#REF!</v>
      </c>
      <c r="GL14" t="e">
        <f>AND(#REF!,"AAAAAHedccE=")</f>
        <v>#REF!</v>
      </c>
      <c r="GM14" t="e">
        <f>AND(#REF!,"AAAAAHedccI=")</f>
        <v>#REF!</v>
      </c>
      <c r="GN14" t="e">
        <f>AND(#REF!,"AAAAAHedccM=")</f>
        <v>#REF!</v>
      </c>
      <c r="GO14" t="e">
        <f>AND(#REF!,"AAAAAHedccQ=")</f>
        <v>#REF!</v>
      </c>
      <c r="GP14" t="e">
        <f>AND(#REF!,"AAAAAHedccU=")</f>
        <v>#REF!</v>
      </c>
      <c r="GQ14" t="e">
        <f>AND(#REF!,"AAAAAHedccY=")</f>
        <v>#REF!</v>
      </c>
      <c r="GR14" t="e">
        <f>AND(#REF!,"AAAAAHedccc=")</f>
        <v>#REF!</v>
      </c>
      <c r="GS14" t="e">
        <f>AND(#REF!,"AAAAAHedccg=")</f>
        <v>#REF!</v>
      </c>
      <c r="GT14" t="e">
        <f>AND(#REF!,"AAAAAHedcck=")</f>
        <v>#REF!</v>
      </c>
      <c r="GU14" t="e">
        <f>AND(#REF!,"AAAAAHedcco=")</f>
        <v>#REF!</v>
      </c>
      <c r="GV14" t="e">
        <f>AND(#REF!,"AAAAAHedccs=")</f>
        <v>#REF!</v>
      </c>
      <c r="GW14" t="e">
        <f>AND(#REF!,"AAAAAHedccw=")</f>
        <v>#REF!</v>
      </c>
      <c r="GX14" t="e">
        <f>AND(#REF!,"AAAAAHedcc0=")</f>
        <v>#REF!</v>
      </c>
      <c r="GY14" t="e">
        <f>IF(#REF!,"AAAAAHedcc4=",0)</f>
        <v>#REF!</v>
      </c>
      <c r="GZ14" t="e">
        <f>AND(#REF!,"AAAAAHedcc8=")</f>
        <v>#REF!</v>
      </c>
      <c r="HA14" t="e">
        <f>AND(#REF!,"AAAAAHedcdA=")</f>
        <v>#REF!</v>
      </c>
      <c r="HB14" t="e">
        <f>AND(#REF!,"AAAAAHedcdE=")</f>
        <v>#REF!</v>
      </c>
      <c r="HC14" t="e">
        <f>AND(#REF!,"AAAAAHedcdI=")</f>
        <v>#REF!</v>
      </c>
      <c r="HD14" t="e">
        <f>AND(#REF!,"AAAAAHedcdM=")</f>
        <v>#REF!</v>
      </c>
      <c r="HE14" t="e">
        <f>AND(#REF!,"AAAAAHedcdQ=")</f>
        <v>#REF!</v>
      </c>
      <c r="HF14" t="e">
        <f>AND(#REF!,"AAAAAHedcdU=")</f>
        <v>#REF!</v>
      </c>
      <c r="HG14" t="e">
        <f>AND(#REF!,"AAAAAHedcdY=")</f>
        <v>#REF!</v>
      </c>
      <c r="HH14" t="e">
        <f>AND(#REF!,"AAAAAHedcdc=")</f>
        <v>#REF!</v>
      </c>
      <c r="HI14" t="e">
        <f>AND(#REF!,"AAAAAHedcdg=")</f>
        <v>#REF!</v>
      </c>
      <c r="HJ14" t="e">
        <f>AND(#REF!,"AAAAAHedcdk=")</f>
        <v>#REF!</v>
      </c>
      <c r="HK14" t="e">
        <f>AND(#REF!,"AAAAAHedcdo=")</f>
        <v>#REF!</v>
      </c>
      <c r="HL14" t="e">
        <f>AND(#REF!,"AAAAAHedcds=")</f>
        <v>#REF!</v>
      </c>
      <c r="HM14" t="e">
        <f>AND(#REF!,"AAAAAHedcdw=")</f>
        <v>#REF!</v>
      </c>
      <c r="HN14" t="e">
        <f>AND(#REF!,"AAAAAHedcd0=")</f>
        <v>#REF!</v>
      </c>
      <c r="HO14" t="e">
        <f>AND(#REF!,"AAAAAHedcd4=")</f>
        <v>#REF!</v>
      </c>
      <c r="HP14" t="e">
        <f>AND(#REF!,"AAAAAHedcd8=")</f>
        <v>#REF!</v>
      </c>
      <c r="HQ14" t="e">
        <f>IF(#REF!,"AAAAAHedceA=",0)</f>
        <v>#REF!</v>
      </c>
      <c r="HR14" t="e">
        <f>AND(#REF!,"AAAAAHedceE=")</f>
        <v>#REF!</v>
      </c>
      <c r="HS14" t="e">
        <f>AND(#REF!,"AAAAAHedceI=")</f>
        <v>#REF!</v>
      </c>
      <c r="HT14" t="e">
        <f>AND(#REF!,"AAAAAHedceM=")</f>
        <v>#REF!</v>
      </c>
      <c r="HU14" t="e">
        <f>AND(#REF!,"AAAAAHedceQ=")</f>
        <v>#REF!</v>
      </c>
      <c r="HV14" t="e">
        <f>AND(#REF!,"AAAAAHedceU=")</f>
        <v>#REF!</v>
      </c>
      <c r="HW14" t="e">
        <f>AND(#REF!,"AAAAAHedceY=")</f>
        <v>#REF!</v>
      </c>
      <c r="HX14" t="e">
        <f>AND(#REF!,"AAAAAHedcec=")</f>
        <v>#REF!</v>
      </c>
      <c r="HY14" t="e">
        <f>AND(#REF!,"AAAAAHedceg=")</f>
        <v>#REF!</v>
      </c>
      <c r="HZ14" t="e">
        <f>AND(#REF!,"AAAAAHedcek=")</f>
        <v>#REF!</v>
      </c>
      <c r="IA14" t="e">
        <f>AND(#REF!,"AAAAAHedceo=")</f>
        <v>#REF!</v>
      </c>
      <c r="IB14" t="e">
        <f>AND(#REF!,"AAAAAHedces=")</f>
        <v>#REF!</v>
      </c>
      <c r="IC14" t="e">
        <f>AND(#REF!,"AAAAAHedcew=")</f>
        <v>#REF!</v>
      </c>
      <c r="ID14" t="e">
        <f>AND(#REF!,"AAAAAHedce0=")</f>
        <v>#REF!</v>
      </c>
      <c r="IE14" t="e">
        <f>AND(#REF!,"AAAAAHedce4=")</f>
        <v>#REF!</v>
      </c>
      <c r="IF14" t="e">
        <f>AND(#REF!,"AAAAAHedce8=")</f>
        <v>#REF!</v>
      </c>
      <c r="IG14" t="e">
        <f>AND(#REF!,"AAAAAHedcfA=")</f>
        <v>#REF!</v>
      </c>
      <c r="IH14" t="e">
        <f>AND(#REF!,"AAAAAHedcfE=")</f>
        <v>#REF!</v>
      </c>
      <c r="II14" t="e">
        <f>IF(#REF!,"AAAAAHedcfI=",0)</f>
        <v>#REF!</v>
      </c>
      <c r="IJ14" t="e">
        <f>AND(#REF!,"AAAAAHedcfM=")</f>
        <v>#REF!</v>
      </c>
      <c r="IK14" t="e">
        <f>AND(#REF!,"AAAAAHedcfQ=")</f>
        <v>#REF!</v>
      </c>
      <c r="IL14" t="e">
        <f>AND(#REF!,"AAAAAHedcfU=")</f>
        <v>#REF!</v>
      </c>
      <c r="IM14" t="e">
        <f>AND(#REF!,"AAAAAHedcfY=")</f>
        <v>#REF!</v>
      </c>
      <c r="IN14" t="e">
        <f>AND(#REF!,"AAAAAHedcfc=")</f>
        <v>#REF!</v>
      </c>
      <c r="IO14" t="e">
        <f>AND(#REF!,"AAAAAHedcfg=")</f>
        <v>#REF!</v>
      </c>
      <c r="IP14" t="e">
        <f>AND(#REF!,"AAAAAHedcfk=")</f>
        <v>#REF!</v>
      </c>
      <c r="IQ14" t="e">
        <f>AND(#REF!,"AAAAAHedcfo=")</f>
        <v>#REF!</v>
      </c>
      <c r="IR14" t="e">
        <f>AND(#REF!,"AAAAAHedcfs=")</f>
        <v>#REF!</v>
      </c>
      <c r="IS14" t="e">
        <f>AND(#REF!,"AAAAAHedcfw=")</f>
        <v>#REF!</v>
      </c>
      <c r="IT14" t="e">
        <f>AND(#REF!,"AAAAAHedcf0=")</f>
        <v>#REF!</v>
      </c>
      <c r="IU14" t="e">
        <f>AND(#REF!,"AAAAAHedcf4=")</f>
        <v>#REF!</v>
      </c>
      <c r="IV14" t="e">
        <f>AND(#REF!,"AAAAAHedcf8=")</f>
        <v>#REF!</v>
      </c>
    </row>
    <row r="15" spans="1:256">
      <c r="A15" t="e">
        <f>AND(#REF!,"AAAAADLZ/AA=")</f>
        <v>#REF!</v>
      </c>
      <c r="B15" t="e">
        <f>AND(#REF!,"AAAAADLZ/AE=")</f>
        <v>#REF!</v>
      </c>
      <c r="C15" t="e">
        <f>AND(#REF!,"AAAAADLZ/AI=")</f>
        <v>#REF!</v>
      </c>
      <c r="D15" t="e">
        <f>AND(#REF!,"AAAAADLZ/AM=")</f>
        <v>#REF!</v>
      </c>
      <c r="E15" t="e">
        <f>IF(#REF!,"AAAAADLZ/AQ=",0)</f>
        <v>#REF!</v>
      </c>
      <c r="F15" t="e">
        <f>AND(#REF!,"AAAAADLZ/AU=")</f>
        <v>#REF!</v>
      </c>
      <c r="G15" t="e">
        <f>AND(#REF!,"AAAAADLZ/AY=")</f>
        <v>#REF!</v>
      </c>
      <c r="H15" t="e">
        <f>AND(#REF!,"AAAAADLZ/Ac=")</f>
        <v>#REF!</v>
      </c>
      <c r="I15" t="e">
        <f>AND(#REF!,"AAAAADLZ/Ag=")</f>
        <v>#REF!</v>
      </c>
      <c r="J15" t="e">
        <f>AND(#REF!,"AAAAADLZ/Ak=")</f>
        <v>#REF!</v>
      </c>
      <c r="K15" t="e">
        <f>AND(#REF!,"AAAAADLZ/Ao=")</f>
        <v>#REF!</v>
      </c>
      <c r="L15" t="e">
        <f>AND(#REF!,"AAAAADLZ/As=")</f>
        <v>#REF!</v>
      </c>
      <c r="M15" t="e">
        <f>AND(#REF!,"AAAAADLZ/Aw=")</f>
        <v>#REF!</v>
      </c>
      <c r="N15" t="e">
        <f>AND(#REF!,"AAAAADLZ/A0=")</f>
        <v>#REF!</v>
      </c>
      <c r="O15" t="e">
        <f>AND(#REF!,"AAAAADLZ/A4=")</f>
        <v>#REF!</v>
      </c>
      <c r="P15" t="e">
        <f>AND(#REF!,"AAAAADLZ/A8=")</f>
        <v>#REF!</v>
      </c>
      <c r="Q15" t="e">
        <f>AND(#REF!,"AAAAADLZ/BA=")</f>
        <v>#REF!</v>
      </c>
      <c r="R15" t="e">
        <f>AND(#REF!,"AAAAADLZ/BE=")</f>
        <v>#REF!</v>
      </c>
      <c r="S15" t="e">
        <f>AND(#REF!,"AAAAADLZ/BI=")</f>
        <v>#REF!</v>
      </c>
      <c r="T15" t="e">
        <f>AND(#REF!,"AAAAADLZ/BM=")</f>
        <v>#REF!</v>
      </c>
      <c r="U15" t="e">
        <f>AND(#REF!,"AAAAADLZ/BQ=")</f>
        <v>#REF!</v>
      </c>
      <c r="V15" t="e">
        <f>AND(#REF!,"AAAAADLZ/BU=")</f>
        <v>#REF!</v>
      </c>
      <c r="W15" t="e">
        <f>IF(#REF!,"AAAAADLZ/BY=",0)</f>
        <v>#REF!</v>
      </c>
      <c r="X15" t="e">
        <f>AND(#REF!,"AAAAADLZ/Bc=")</f>
        <v>#REF!</v>
      </c>
      <c r="Y15" t="e">
        <f>AND(#REF!,"AAAAADLZ/Bg=")</f>
        <v>#REF!</v>
      </c>
      <c r="Z15" t="e">
        <f>AND(#REF!,"AAAAADLZ/Bk=")</f>
        <v>#REF!</v>
      </c>
      <c r="AA15" t="e">
        <f>AND(#REF!,"AAAAADLZ/Bo=")</f>
        <v>#REF!</v>
      </c>
      <c r="AB15" t="e">
        <f>AND(#REF!,"AAAAADLZ/Bs=")</f>
        <v>#REF!</v>
      </c>
      <c r="AC15" t="e">
        <f>AND(#REF!,"AAAAADLZ/Bw=")</f>
        <v>#REF!</v>
      </c>
      <c r="AD15" t="e">
        <f>AND(#REF!,"AAAAADLZ/B0=")</f>
        <v>#REF!</v>
      </c>
      <c r="AE15" t="e">
        <f>AND(#REF!,"AAAAADLZ/B4=")</f>
        <v>#REF!</v>
      </c>
      <c r="AF15" t="e">
        <f>AND(#REF!,"AAAAADLZ/B8=")</f>
        <v>#REF!</v>
      </c>
      <c r="AG15" t="e">
        <f>AND(#REF!,"AAAAADLZ/CA=")</f>
        <v>#REF!</v>
      </c>
      <c r="AH15" t="e">
        <f>AND(#REF!,"AAAAADLZ/CE=")</f>
        <v>#REF!</v>
      </c>
      <c r="AI15" t="e">
        <f>AND(#REF!,"AAAAADLZ/CI=")</f>
        <v>#REF!</v>
      </c>
      <c r="AJ15" t="e">
        <f>AND(#REF!,"AAAAADLZ/CM=")</f>
        <v>#REF!</v>
      </c>
      <c r="AK15" t="e">
        <f>AND(#REF!,"AAAAADLZ/CQ=")</f>
        <v>#REF!</v>
      </c>
      <c r="AL15" t="e">
        <f>AND(#REF!,"AAAAADLZ/CU=")</f>
        <v>#REF!</v>
      </c>
      <c r="AM15" t="e">
        <f>AND(#REF!,"AAAAADLZ/CY=")</f>
        <v>#REF!</v>
      </c>
      <c r="AN15" t="e">
        <f>AND(#REF!,"AAAAADLZ/Cc=")</f>
        <v>#REF!</v>
      </c>
      <c r="AO15" t="e">
        <f>IF(#REF!,"AAAAADLZ/Cg=",0)</f>
        <v>#REF!</v>
      </c>
      <c r="AP15" t="e">
        <f>AND(#REF!,"AAAAADLZ/Ck=")</f>
        <v>#REF!</v>
      </c>
      <c r="AQ15" t="e">
        <f>AND(#REF!,"AAAAADLZ/Co=")</f>
        <v>#REF!</v>
      </c>
      <c r="AR15" t="e">
        <f>AND(#REF!,"AAAAADLZ/Cs=")</f>
        <v>#REF!</v>
      </c>
      <c r="AS15" t="e">
        <f>AND(#REF!,"AAAAADLZ/Cw=")</f>
        <v>#REF!</v>
      </c>
      <c r="AT15" t="e">
        <f>AND(#REF!,"AAAAADLZ/C0=")</f>
        <v>#REF!</v>
      </c>
      <c r="AU15" t="e">
        <f>AND(#REF!,"AAAAADLZ/C4=")</f>
        <v>#REF!</v>
      </c>
      <c r="AV15" t="e">
        <f>AND(#REF!,"AAAAADLZ/C8=")</f>
        <v>#REF!</v>
      </c>
      <c r="AW15" t="e">
        <f>AND(#REF!,"AAAAADLZ/DA=")</f>
        <v>#REF!</v>
      </c>
      <c r="AX15" t="e">
        <f>AND(#REF!,"AAAAADLZ/DE=")</f>
        <v>#REF!</v>
      </c>
      <c r="AY15" t="e">
        <f>AND(#REF!,"AAAAADLZ/DI=")</f>
        <v>#REF!</v>
      </c>
      <c r="AZ15" t="e">
        <f>AND(#REF!,"AAAAADLZ/DM=")</f>
        <v>#REF!</v>
      </c>
      <c r="BA15" t="e">
        <f>AND(#REF!,"AAAAADLZ/DQ=")</f>
        <v>#REF!</v>
      </c>
      <c r="BB15" t="e">
        <f>AND(#REF!,"AAAAADLZ/DU=")</f>
        <v>#REF!</v>
      </c>
      <c r="BC15" t="e">
        <f>AND(#REF!,"AAAAADLZ/DY=")</f>
        <v>#REF!</v>
      </c>
      <c r="BD15" t="e">
        <f>AND(#REF!,"AAAAADLZ/Dc=")</f>
        <v>#REF!</v>
      </c>
      <c r="BE15" t="e">
        <f>AND(#REF!,"AAAAADLZ/Dg=")</f>
        <v>#REF!</v>
      </c>
      <c r="BF15" t="e">
        <f>AND(#REF!,"AAAAADLZ/Dk=")</f>
        <v>#REF!</v>
      </c>
      <c r="BG15" t="e">
        <f>IF(#REF!,"AAAAADLZ/Do=",0)</f>
        <v>#REF!</v>
      </c>
      <c r="BH15" t="e">
        <f>AND(#REF!,"AAAAADLZ/Ds=")</f>
        <v>#REF!</v>
      </c>
      <c r="BI15" t="e">
        <f>AND(#REF!,"AAAAADLZ/Dw=")</f>
        <v>#REF!</v>
      </c>
      <c r="BJ15" t="e">
        <f>AND(#REF!,"AAAAADLZ/D0=")</f>
        <v>#REF!</v>
      </c>
      <c r="BK15" t="e">
        <f>AND(#REF!,"AAAAADLZ/D4=")</f>
        <v>#REF!</v>
      </c>
      <c r="BL15" t="e">
        <f>AND(#REF!,"AAAAADLZ/D8=")</f>
        <v>#REF!</v>
      </c>
      <c r="BM15" t="e">
        <f>AND(#REF!,"AAAAADLZ/EA=")</f>
        <v>#REF!</v>
      </c>
      <c r="BN15" t="e">
        <f>AND(#REF!,"AAAAADLZ/EE=")</f>
        <v>#REF!</v>
      </c>
      <c r="BO15" t="e">
        <f>AND(#REF!,"AAAAADLZ/EI=")</f>
        <v>#REF!</v>
      </c>
      <c r="BP15" t="e">
        <f>AND(#REF!,"AAAAADLZ/EM=")</f>
        <v>#REF!</v>
      </c>
      <c r="BQ15" t="e">
        <f>AND(#REF!,"AAAAADLZ/EQ=")</f>
        <v>#REF!</v>
      </c>
      <c r="BR15" t="e">
        <f>AND(#REF!,"AAAAADLZ/EU=")</f>
        <v>#REF!</v>
      </c>
      <c r="BS15" t="e">
        <f>AND(#REF!,"AAAAADLZ/EY=")</f>
        <v>#REF!</v>
      </c>
      <c r="BT15" t="e">
        <f>AND(#REF!,"AAAAADLZ/Ec=")</f>
        <v>#REF!</v>
      </c>
      <c r="BU15" t="e">
        <f>AND(#REF!,"AAAAADLZ/Eg=")</f>
        <v>#REF!</v>
      </c>
      <c r="BV15" t="e">
        <f>AND(#REF!,"AAAAADLZ/Ek=")</f>
        <v>#REF!</v>
      </c>
      <c r="BW15" t="e">
        <f>AND(#REF!,"AAAAADLZ/Eo=")</f>
        <v>#REF!</v>
      </c>
      <c r="BX15" t="e">
        <f>AND(#REF!,"AAAAADLZ/Es=")</f>
        <v>#REF!</v>
      </c>
      <c r="BY15" t="e">
        <f>IF(#REF!,"AAAAADLZ/Ew=",0)</f>
        <v>#REF!</v>
      </c>
      <c r="BZ15" t="e">
        <f>AND(#REF!,"AAAAADLZ/E0=")</f>
        <v>#REF!</v>
      </c>
      <c r="CA15" t="e">
        <f>AND(#REF!,"AAAAADLZ/E4=")</f>
        <v>#REF!</v>
      </c>
      <c r="CB15" t="e">
        <f>AND(#REF!,"AAAAADLZ/E8=")</f>
        <v>#REF!</v>
      </c>
      <c r="CC15" t="e">
        <f>AND(#REF!,"AAAAADLZ/FA=")</f>
        <v>#REF!</v>
      </c>
      <c r="CD15" t="e">
        <f>AND(#REF!,"AAAAADLZ/FE=")</f>
        <v>#REF!</v>
      </c>
      <c r="CE15" t="e">
        <f>AND(#REF!,"AAAAADLZ/FI=")</f>
        <v>#REF!</v>
      </c>
      <c r="CF15" t="e">
        <f>AND(#REF!,"AAAAADLZ/FM=")</f>
        <v>#REF!</v>
      </c>
      <c r="CG15" t="e">
        <f>AND(#REF!,"AAAAADLZ/FQ=")</f>
        <v>#REF!</v>
      </c>
      <c r="CH15" t="e">
        <f>AND(#REF!,"AAAAADLZ/FU=")</f>
        <v>#REF!</v>
      </c>
      <c r="CI15" t="e">
        <f>AND(#REF!,"AAAAADLZ/FY=")</f>
        <v>#REF!</v>
      </c>
      <c r="CJ15" t="e">
        <f>AND(#REF!,"AAAAADLZ/Fc=")</f>
        <v>#REF!</v>
      </c>
      <c r="CK15" t="e">
        <f>AND(#REF!,"AAAAADLZ/Fg=")</f>
        <v>#REF!</v>
      </c>
      <c r="CL15" t="e">
        <f>AND(#REF!,"AAAAADLZ/Fk=")</f>
        <v>#REF!</v>
      </c>
      <c r="CM15" t="e">
        <f>AND(#REF!,"AAAAADLZ/Fo=")</f>
        <v>#REF!</v>
      </c>
      <c r="CN15" t="e">
        <f>AND(#REF!,"AAAAADLZ/Fs=")</f>
        <v>#REF!</v>
      </c>
      <c r="CO15" t="e">
        <f>AND(#REF!,"AAAAADLZ/Fw=")</f>
        <v>#REF!</v>
      </c>
      <c r="CP15" t="e">
        <f>AND(#REF!,"AAAAADLZ/F0=")</f>
        <v>#REF!</v>
      </c>
      <c r="CQ15" t="e">
        <f>IF(#REF!,"AAAAADLZ/F4=",0)</f>
        <v>#REF!</v>
      </c>
      <c r="CR15" t="e">
        <f>AND(#REF!,"AAAAADLZ/F8=")</f>
        <v>#REF!</v>
      </c>
      <c r="CS15" t="e">
        <f>AND(#REF!,"AAAAADLZ/GA=")</f>
        <v>#REF!</v>
      </c>
      <c r="CT15" t="e">
        <f>AND(#REF!,"AAAAADLZ/GE=")</f>
        <v>#REF!</v>
      </c>
      <c r="CU15" t="e">
        <f>AND(#REF!,"AAAAADLZ/GI=")</f>
        <v>#REF!</v>
      </c>
      <c r="CV15" t="e">
        <f>AND(#REF!,"AAAAADLZ/GM=")</f>
        <v>#REF!</v>
      </c>
      <c r="CW15" t="e">
        <f>AND(#REF!,"AAAAADLZ/GQ=")</f>
        <v>#REF!</v>
      </c>
      <c r="CX15" t="e">
        <f>AND(#REF!,"AAAAADLZ/GU=")</f>
        <v>#REF!</v>
      </c>
      <c r="CY15" t="e">
        <f>AND(#REF!,"AAAAADLZ/GY=")</f>
        <v>#REF!</v>
      </c>
      <c r="CZ15" t="e">
        <f>AND(#REF!,"AAAAADLZ/Gc=")</f>
        <v>#REF!</v>
      </c>
      <c r="DA15" t="e">
        <f>AND(#REF!,"AAAAADLZ/Gg=")</f>
        <v>#REF!</v>
      </c>
      <c r="DB15" t="e">
        <f>AND(#REF!,"AAAAADLZ/Gk=")</f>
        <v>#REF!</v>
      </c>
      <c r="DC15" t="e">
        <f>AND(#REF!,"AAAAADLZ/Go=")</f>
        <v>#REF!</v>
      </c>
      <c r="DD15" t="e">
        <f>AND(#REF!,"AAAAADLZ/Gs=")</f>
        <v>#REF!</v>
      </c>
      <c r="DE15" t="e">
        <f>AND(#REF!,"AAAAADLZ/Gw=")</f>
        <v>#REF!</v>
      </c>
      <c r="DF15" t="e">
        <f>AND(#REF!,"AAAAADLZ/G0=")</f>
        <v>#REF!</v>
      </c>
      <c r="DG15" t="e">
        <f>AND(#REF!,"AAAAADLZ/G4=")</f>
        <v>#REF!</v>
      </c>
      <c r="DH15" t="e">
        <f>AND(#REF!,"AAAAADLZ/G8=")</f>
        <v>#REF!</v>
      </c>
      <c r="DI15" t="e">
        <f>IF(#REF!,"AAAAADLZ/HA=",0)</f>
        <v>#REF!</v>
      </c>
      <c r="DJ15" t="e">
        <f>AND(#REF!,"AAAAADLZ/HE=")</f>
        <v>#REF!</v>
      </c>
      <c r="DK15" t="e">
        <f>AND(#REF!,"AAAAADLZ/HI=")</f>
        <v>#REF!</v>
      </c>
      <c r="DL15" t="e">
        <f>AND(#REF!,"AAAAADLZ/HM=")</f>
        <v>#REF!</v>
      </c>
      <c r="DM15" t="e">
        <f>AND(#REF!,"AAAAADLZ/HQ=")</f>
        <v>#REF!</v>
      </c>
      <c r="DN15" t="e">
        <f>AND(#REF!,"AAAAADLZ/HU=")</f>
        <v>#REF!</v>
      </c>
      <c r="DO15" t="e">
        <f>AND(#REF!,"AAAAADLZ/HY=")</f>
        <v>#REF!</v>
      </c>
      <c r="DP15" t="e">
        <f>AND(#REF!,"AAAAADLZ/Hc=")</f>
        <v>#REF!</v>
      </c>
      <c r="DQ15" t="e">
        <f>AND(#REF!,"AAAAADLZ/Hg=")</f>
        <v>#REF!</v>
      </c>
      <c r="DR15" t="e">
        <f>AND(#REF!,"AAAAADLZ/Hk=")</f>
        <v>#REF!</v>
      </c>
      <c r="DS15" t="e">
        <f>AND(#REF!,"AAAAADLZ/Ho=")</f>
        <v>#REF!</v>
      </c>
      <c r="DT15" t="e">
        <f>AND(#REF!,"AAAAADLZ/Hs=")</f>
        <v>#REF!</v>
      </c>
      <c r="DU15" t="e">
        <f>AND(#REF!,"AAAAADLZ/Hw=")</f>
        <v>#REF!</v>
      </c>
      <c r="DV15" t="e">
        <f>AND(#REF!,"AAAAADLZ/H0=")</f>
        <v>#REF!</v>
      </c>
      <c r="DW15" t="e">
        <f>AND(#REF!,"AAAAADLZ/H4=")</f>
        <v>#REF!</v>
      </c>
      <c r="DX15" t="e">
        <f>AND(#REF!,"AAAAADLZ/H8=")</f>
        <v>#REF!</v>
      </c>
      <c r="DY15" t="e">
        <f>AND(#REF!,"AAAAADLZ/IA=")</f>
        <v>#REF!</v>
      </c>
      <c r="DZ15" t="e">
        <f>AND(#REF!,"AAAAADLZ/IE=")</f>
        <v>#REF!</v>
      </c>
      <c r="EA15" t="e">
        <f>IF(#REF!,"AAAAADLZ/II=",0)</f>
        <v>#REF!</v>
      </c>
      <c r="EB15" t="e">
        <f>AND(#REF!,"AAAAADLZ/IM=")</f>
        <v>#REF!</v>
      </c>
      <c r="EC15" t="e">
        <f>AND(#REF!,"AAAAADLZ/IQ=")</f>
        <v>#REF!</v>
      </c>
      <c r="ED15" t="e">
        <f>AND(#REF!,"AAAAADLZ/IU=")</f>
        <v>#REF!</v>
      </c>
      <c r="EE15" t="e">
        <f>AND(#REF!,"AAAAADLZ/IY=")</f>
        <v>#REF!</v>
      </c>
      <c r="EF15" t="e">
        <f>AND(#REF!,"AAAAADLZ/Ic=")</f>
        <v>#REF!</v>
      </c>
      <c r="EG15" t="e">
        <f>AND(#REF!,"AAAAADLZ/Ig=")</f>
        <v>#REF!</v>
      </c>
      <c r="EH15" t="e">
        <f>AND(#REF!,"AAAAADLZ/Ik=")</f>
        <v>#REF!</v>
      </c>
      <c r="EI15" t="e">
        <f>AND(#REF!,"AAAAADLZ/Io=")</f>
        <v>#REF!</v>
      </c>
      <c r="EJ15" t="e">
        <f>AND(#REF!,"AAAAADLZ/Is=")</f>
        <v>#REF!</v>
      </c>
      <c r="EK15" t="e">
        <f>AND(#REF!,"AAAAADLZ/Iw=")</f>
        <v>#REF!</v>
      </c>
      <c r="EL15" t="e">
        <f>AND(#REF!,"AAAAADLZ/I0=")</f>
        <v>#REF!</v>
      </c>
      <c r="EM15" t="e">
        <f>AND(#REF!,"AAAAADLZ/I4=")</f>
        <v>#REF!</v>
      </c>
      <c r="EN15" t="e">
        <f>AND(#REF!,"AAAAADLZ/I8=")</f>
        <v>#REF!</v>
      </c>
      <c r="EO15" t="e">
        <f>AND(#REF!,"AAAAADLZ/JA=")</f>
        <v>#REF!</v>
      </c>
      <c r="EP15" t="e">
        <f>AND(#REF!,"AAAAADLZ/JE=")</f>
        <v>#REF!</v>
      </c>
      <c r="EQ15" t="e">
        <f>AND(#REF!,"AAAAADLZ/JI=")</f>
        <v>#REF!</v>
      </c>
      <c r="ER15" t="e">
        <f>AND(#REF!,"AAAAADLZ/JM=")</f>
        <v>#REF!</v>
      </c>
      <c r="ES15" t="e">
        <f>IF(#REF!,"AAAAADLZ/JQ=",0)</f>
        <v>#REF!</v>
      </c>
      <c r="ET15" t="e">
        <f>AND(#REF!,"AAAAADLZ/JU=")</f>
        <v>#REF!</v>
      </c>
      <c r="EU15" t="e">
        <f>AND(#REF!,"AAAAADLZ/JY=")</f>
        <v>#REF!</v>
      </c>
      <c r="EV15" t="e">
        <f>AND(#REF!,"AAAAADLZ/Jc=")</f>
        <v>#REF!</v>
      </c>
      <c r="EW15" t="e">
        <f>AND(#REF!,"AAAAADLZ/Jg=")</f>
        <v>#REF!</v>
      </c>
      <c r="EX15" t="e">
        <f>AND(#REF!,"AAAAADLZ/Jk=")</f>
        <v>#REF!</v>
      </c>
      <c r="EY15" t="e">
        <f>AND(#REF!,"AAAAADLZ/Jo=")</f>
        <v>#REF!</v>
      </c>
      <c r="EZ15" t="e">
        <f>AND(#REF!,"AAAAADLZ/Js=")</f>
        <v>#REF!</v>
      </c>
      <c r="FA15" t="e">
        <f>AND(#REF!,"AAAAADLZ/Jw=")</f>
        <v>#REF!</v>
      </c>
      <c r="FB15" t="e">
        <f>AND(#REF!,"AAAAADLZ/J0=")</f>
        <v>#REF!</v>
      </c>
      <c r="FC15" t="e">
        <f>AND(#REF!,"AAAAADLZ/J4=")</f>
        <v>#REF!</v>
      </c>
      <c r="FD15" t="e">
        <f>AND(#REF!,"AAAAADLZ/J8=")</f>
        <v>#REF!</v>
      </c>
      <c r="FE15" t="e">
        <f>AND(#REF!,"AAAAADLZ/KA=")</f>
        <v>#REF!</v>
      </c>
      <c r="FF15" t="e">
        <f>AND(#REF!,"AAAAADLZ/KE=")</f>
        <v>#REF!</v>
      </c>
      <c r="FG15" t="e">
        <f>AND(#REF!,"AAAAADLZ/KI=")</f>
        <v>#REF!</v>
      </c>
      <c r="FH15" t="e">
        <f>AND(#REF!,"AAAAADLZ/KM=")</f>
        <v>#REF!</v>
      </c>
      <c r="FI15" t="e">
        <f>AND(#REF!,"AAAAADLZ/KQ=")</f>
        <v>#REF!</v>
      </c>
      <c r="FJ15" t="e">
        <f>AND(#REF!,"AAAAADLZ/KU=")</f>
        <v>#REF!</v>
      </c>
      <c r="FK15" t="e">
        <f>IF(#REF!,"AAAAADLZ/KY=",0)</f>
        <v>#REF!</v>
      </c>
      <c r="FL15" t="e">
        <f>AND(#REF!,"AAAAADLZ/Kc=")</f>
        <v>#REF!</v>
      </c>
      <c r="FM15" t="e">
        <f>AND(#REF!,"AAAAADLZ/Kg=")</f>
        <v>#REF!</v>
      </c>
      <c r="FN15" t="e">
        <f>AND(#REF!,"AAAAADLZ/Kk=")</f>
        <v>#REF!</v>
      </c>
      <c r="FO15" t="e">
        <f>AND(#REF!,"AAAAADLZ/Ko=")</f>
        <v>#REF!</v>
      </c>
      <c r="FP15" t="e">
        <f>AND(#REF!,"AAAAADLZ/Ks=")</f>
        <v>#REF!</v>
      </c>
      <c r="FQ15" t="e">
        <f>AND(#REF!,"AAAAADLZ/Kw=")</f>
        <v>#REF!</v>
      </c>
      <c r="FR15" t="e">
        <f>AND(#REF!,"AAAAADLZ/K0=")</f>
        <v>#REF!</v>
      </c>
      <c r="FS15" t="e">
        <f>AND(#REF!,"AAAAADLZ/K4=")</f>
        <v>#REF!</v>
      </c>
      <c r="FT15" t="e">
        <f>AND(#REF!,"AAAAADLZ/K8=")</f>
        <v>#REF!</v>
      </c>
      <c r="FU15" t="e">
        <f>AND(#REF!,"AAAAADLZ/LA=")</f>
        <v>#REF!</v>
      </c>
      <c r="FV15" t="e">
        <f>AND(#REF!,"AAAAADLZ/LE=")</f>
        <v>#REF!</v>
      </c>
      <c r="FW15" t="e">
        <f>AND(#REF!,"AAAAADLZ/LI=")</f>
        <v>#REF!</v>
      </c>
      <c r="FX15" t="e">
        <f>AND(#REF!,"AAAAADLZ/LM=")</f>
        <v>#REF!</v>
      </c>
      <c r="FY15" t="e">
        <f>AND(#REF!,"AAAAADLZ/LQ=")</f>
        <v>#REF!</v>
      </c>
      <c r="FZ15" t="e">
        <f>AND(#REF!,"AAAAADLZ/LU=")</f>
        <v>#REF!</v>
      </c>
      <c r="GA15" t="e">
        <f>AND(#REF!,"AAAAADLZ/LY=")</f>
        <v>#REF!</v>
      </c>
      <c r="GB15" t="e">
        <f>AND(#REF!,"AAAAADLZ/Lc=")</f>
        <v>#REF!</v>
      </c>
      <c r="GC15" t="e">
        <f>IF(#REF!,"AAAAADLZ/Lg=",0)</f>
        <v>#REF!</v>
      </c>
      <c r="GD15" t="e">
        <f>AND(#REF!,"AAAAADLZ/Lk=")</f>
        <v>#REF!</v>
      </c>
      <c r="GE15" t="e">
        <f>AND(#REF!,"AAAAADLZ/Lo=")</f>
        <v>#REF!</v>
      </c>
      <c r="GF15" t="e">
        <f>AND(#REF!,"AAAAADLZ/Ls=")</f>
        <v>#REF!</v>
      </c>
      <c r="GG15" t="e">
        <f>AND(#REF!,"AAAAADLZ/Lw=")</f>
        <v>#REF!</v>
      </c>
      <c r="GH15" t="e">
        <f>AND(#REF!,"AAAAADLZ/L0=")</f>
        <v>#REF!</v>
      </c>
      <c r="GI15" t="e">
        <f>AND(#REF!,"AAAAADLZ/L4=")</f>
        <v>#REF!</v>
      </c>
      <c r="GJ15" t="e">
        <f>AND(#REF!,"AAAAADLZ/L8=")</f>
        <v>#REF!</v>
      </c>
      <c r="GK15" t="e">
        <f>AND(#REF!,"AAAAADLZ/MA=")</f>
        <v>#REF!</v>
      </c>
      <c r="GL15" t="e">
        <f>AND(#REF!,"AAAAADLZ/ME=")</f>
        <v>#REF!</v>
      </c>
      <c r="GM15" t="e">
        <f>AND(#REF!,"AAAAADLZ/MI=")</f>
        <v>#REF!</v>
      </c>
      <c r="GN15" t="e">
        <f>AND(#REF!,"AAAAADLZ/MM=")</f>
        <v>#REF!</v>
      </c>
      <c r="GO15" t="e">
        <f>AND(#REF!,"AAAAADLZ/MQ=")</f>
        <v>#REF!</v>
      </c>
      <c r="GP15" t="e">
        <f>AND(#REF!,"AAAAADLZ/MU=")</f>
        <v>#REF!</v>
      </c>
      <c r="GQ15" t="e">
        <f>AND(#REF!,"AAAAADLZ/MY=")</f>
        <v>#REF!</v>
      </c>
      <c r="GR15" t="e">
        <f>AND(#REF!,"AAAAADLZ/Mc=")</f>
        <v>#REF!</v>
      </c>
      <c r="GS15" t="e">
        <f>AND(#REF!,"AAAAADLZ/Mg=")</f>
        <v>#REF!</v>
      </c>
      <c r="GT15" t="e">
        <f>AND(#REF!,"AAAAADLZ/Mk=")</f>
        <v>#REF!</v>
      </c>
      <c r="GU15" t="e">
        <f>IF(#REF!,"AAAAADLZ/Mo=",0)</f>
        <v>#REF!</v>
      </c>
      <c r="GV15" t="e">
        <f>AND(#REF!,"AAAAADLZ/Ms=")</f>
        <v>#REF!</v>
      </c>
      <c r="GW15" t="e">
        <f>AND(#REF!,"AAAAADLZ/Mw=")</f>
        <v>#REF!</v>
      </c>
      <c r="GX15" t="e">
        <f>AND(#REF!,"AAAAADLZ/M0=")</f>
        <v>#REF!</v>
      </c>
      <c r="GY15" t="e">
        <f>AND(#REF!,"AAAAADLZ/M4=")</f>
        <v>#REF!</v>
      </c>
      <c r="GZ15" t="e">
        <f>AND(#REF!,"AAAAADLZ/M8=")</f>
        <v>#REF!</v>
      </c>
      <c r="HA15" t="e">
        <f>AND(#REF!,"AAAAADLZ/NA=")</f>
        <v>#REF!</v>
      </c>
      <c r="HB15" t="e">
        <f>AND(#REF!,"AAAAADLZ/NE=")</f>
        <v>#REF!</v>
      </c>
      <c r="HC15" t="e">
        <f>AND(#REF!,"AAAAADLZ/NI=")</f>
        <v>#REF!</v>
      </c>
      <c r="HD15" t="e">
        <f>AND(#REF!,"AAAAADLZ/NM=")</f>
        <v>#REF!</v>
      </c>
      <c r="HE15" t="e">
        <f>AND(#REF!,"AAAAADLZ/NQ=")</f>
        <v>#REF!</v>
      </c>
      <c r="HF15" t="e">
        <f>AND(#REF!,"AAAAADLZ/NU=")</f>
        <v>#REF!</v>
      </c>
      <c r="HG15" t="e">
        <f>AND(#REF!,"AAAAADLZ/NY=")</f>
        <v>#REF!</v>
      </c>
      <c r="HH15" t="e">
        <f>AND(#REF!,"AAAAADLZ/Nc=")</f>
        <v>#REF!</v>
      </c>
      <c r="HI15" t="e">
        <f>AND(#REF!,"AAAAADLZ/Ng=")</f>
        <v>#REF!</v>
      </c>
      <c r="HJ15" t="e">
        <f>AND(#REF!,"AAAAADLZ/Nk=")</f>
        <v>#REF!</v>
      </c>
      <c r="HK15" t="e">
        <f>AND(#REF!,"AAAAADLZ/No=")</f>
        <v>#REF!</v>
      </c>
      <c r="HL15" t="e">
        <f>AND(#REF!,"AAAAADLZ/Ns=")</f>
        <v>#REF!</v>
      </c>
      <c r="HM15" t="e">
        <f>IF(#REF!,"AAAAADLZ/Nw=",0)</f>
        <v>#REF!</v>
      </c>
      <c r="HN15" t="e">
        <f>AND(#REF!,"AAAAADLZ/N0=")</f>
        <v>#REF!</v>
      </c>
      <c r="HO15" t="e">
        <f>AND(#REF!,"AAAAADLZ/N4=")</f>
        <v>#REF!</v>
      </c>
      <c r="HP15" t="e">
        <f>AND(#REF!,"AAAAADLZ/N8=")</f>
        <v>#REF!</v>
      </c>
      <c r="HQ15" t="e">
        <f>AND(#REF!,"AAAAADLZ/OA=")</f>
        <v>#REF!</v>
      </c>
      <c r="HR15" t="e">
        <f>AND(#REF!,"AAAAADLZ/OE=")</f>
        <v>#REF!</v>
      </c>
      <c r="HS15" t="e">
        <f>AND(#REF!,"AAAAADLZ/OI=")</f>
        <v>#REF!</v>
      </c>
      <c r="HT15" t="e">
        <f>AND(#REF!,"AAAAADLZ/OM=")</f>
        <v>#REF!</v>
      </c>
      <c r="HU15" t="e">
        <f>AND(#REF!,"AAAAADLZ/OQ=")</f>
        <v>#REF!</v>
      </c>
      <c r="HV15" t="e">
        <f>AND(#REF!,"AAAAADLZ/OU=")</f>
        <v>#REF!</v>
      </c>
      <c r="HW15" t="e">
        <f>AND(#REF!,"AAAAADLZ/OY=")</f>
        <v>#REF!</v>
      </c>
      <c r="HX15" t="e">
        <f>AND(#REF!,"AAAAADLZ/Oc=")</f>
        <v>#REF!</v>
      </c>
      <c r="HY15" t="e">
        <f>AND(#REF!,"AAAAADLZ/Og=")</f>
        <v>#REF!</v>
      </c>
      <c r="HZ15" t="e">
        <f>AND(#REF!,"AAAAADLZ/Ok=")</f>
        <v>#REF!</v>
      </c>
      <c r="IA15" t="e">
        <f>AND(#REF!,"AAAAADLZ/Oo=")</f>
        <v>#REF!</v>
      </c>
      <c r="IB15" t="e">
        <f>AND(#REF!,"AAAAADLZ/Os=")</f>
        <v>#REF!</v>
      </c>
      <c r="IC15" t="e">
        <f>AND(#REF!,"AAAAADLZ/Ow=")</f>
        <v>#REF!</v>
      </c>
      <c r="ID15" t="e">
        <f>AND(#REF!,"AAAAADLZ/O0=")</f>
        <v>#REF!</v>
      </c>
      <c r="IE15" t="e">
        <f>IF(#REF!,"AAAAADLZ/O4=",0)</f>
        <v>#REF!</v>
      </c>
      <c r="IF15" t="e">
        <f>AND(#REF!,"AAAAADLZ/O8=")</f>
        <v>#REF!</v>
      </c>
      <c r="IG15" t="e">
        <f>AND(#REF!,"AAAAADLZ/PA=")</f>
        <v>#REF!</v>
      </c>
      <c r="IH15" t="e">
        <f>AND(#REF!,"AAAAADLZ/PE=")</f>
        <v>#REF!</v>
      </c>
      <c r="II15" t="e">
        <f>AND(#REF!,"AAAAADLZ/PI=")</f>
        <v>#REF!</v>
      </c>
      <c r="IJ15" t="e">
        <f>AND(#REF!,"AAAAADLZ/PM=")</f>
        <v>#REF!</v>
      </c>
      <c r="IK15" t="e">
        <f>AND(#REF!,"AAAAADLZ/PQ=")</f>
        <v>#REF!</v>
      </c>
      <c r="IL15" t="e">
        <f>AND(#REF!,"AAAAADLZ/PU=")</f>
        <v>#REF!</v>
      </c>
      <c r="IM15" t="e">
        <f>AND(#REF!,"AAAAADLZ/PY=")</f>
        <v>#REF!</v>
      </c>
      <c r="IN15" t="e">
        <f>AND(#REF!,"AAAAADLZ/Pc=")</f>
        <v>#REF!</v>
      </c>
      <c r="IO15" t="e">
        <f>AND(#REF!,"AAAAADLZ/Pg=")</f>
        <v>#REF!</v>
      </c>
      <c r="IP15" t="e">
        <f>AND(#REF!,"AAAAADLZ/Pk=")</f>
        <v>#REF!</v>
      </c>
      <c r="IQ15" t="e">
        <f>AND(#REF!,"AAAAADLZ/Po=")</f>
        <v>#REF!</v>
      </c>
      <c r="IR15" t="e">
        <f>AND(#REF!,"AAAAADLZ/Ps=")</f>
        <v>#REF!</v>
      </c>
      <c r="IS15" t="e">
        <f>AND(#REF!,"AAAAADLZ/Pw=")</f>
        <v>#REF!</v>
      </c>
      <c r="IT15" t="e">
        <f>AND(#REF!,"AAAAADLZ/P0=")</f>
        <v>#REF!</v>
      </c>
      <c r="IU15" t="e">
        <f>AND(#REF!,"AAAAADLZ/P4=")</f>
        <v>#REF!</v>
      </c>
      <c r="IV15" t="e">
        <f>AND(#REF!,"AAAAADLZ/P8=")</f>
        <v>#REF!</v>
      </c>
    </row>
    <row r="16" spans="1:256">
      <c r="A16" t="e">
        <f>IF(#REF!,"AAAAAHkv+AA=",0)</f>
        <v>#REF!</v>
      </c>
      <c r="B16" t="e">
        <f>AND(#REF!,"AAAAAHkv+AE=")</f>
        <v>#REF!</v>
      </c>
      <c r="C16" t="e">
        <f>AND(#REF!,"AAAAAHkv+AI=")</f>
        <v>#REF!</v>
      </c>
      <c r="D16" t="e">
        <f>AND(#REF!,"AAAAAHkv+AM=")</f>
        <v>#REF!</v>
      </c>
      <c r="E16" t="e">
        <f>AND(#REF!,"AAAAAHkv+AQ=")</f>
        <v>#REF!</v>
      </c>
      <c r="F16" t="e">
        <f>AND(#REF!,"AAAAAHkv+AU=")</f>
        <v>#REF!</v>
      </c>
      <c r="G16" t="e">
        <f>AND(#REF!,"AAAAAHkv+AY=")</f>
        <v>#REF!</v>
      </c>
      <c r="H16" t="e">
        <f>AND(#REF!,"AAAAAHkv+Ac=")</f>
        <v>#REF!</v>
      </c>
      <c r="I16" t="e">
        <f>AND(#REF!,"AAAAAHkv+Ag=")</f>
        <v>#REF!</v>
      </c>
      <c r="J16" t="e">
        <f>AND(#REF!,"AAAAAHkv+Ak=")</f>
        <v>#REF!</v>
      </c>
      <c r="K16" t="e">
        <f>AND(#REF!,"AAAAAHkv+Ao=")</f>
        <v>#REF!</v>
      </c>
      <c r="L16" t="e">
        <f>AND(#REF!,"AAAAAHkv+As=")</f>
        <v>#REF!</v>
      </c>
      <c r="M16" t="e">
        <f>AND(#REF!,"AAAAAHkv+Aw=")</f>
        <v>#REF!</v>
      </c>
      <c r="N16" t="e">
        <f>AND(#REF!,"AAAAAHkv+A0=")</f>
        <v>#REF!</v>
      </c>
      <c r="O16" t="e">
        <f>AND(#REF!,"AAAAAHkv+A4=")</f>
        <v>#REF!</v>
      </c>
      <c r="P16" t="e">
        <f>AND(#REF!,"AAAAAHkv+A8=")</f>
        <v>#REF!</v>
      </c>
      <c r="Q16" t="e">
        <f>AND(#REF!,"AAAAAHkv+BA=")</f>
        <v>#REF!</v>
      </c>
      <c r="R16" t="e">
        <f>AND(#REF!,"AAAAAHkv+BE=")</f>
        <v>#REF!</v>
      </c>
      <c r="S16" t="e">
        <f>IF(#REF!,"AAAAAHkv+BI=",0)</f>
        <v>#REF!</v>
      </c>
      <c r="T16" t="e">
        <f>AND(#REF!,"AAAAAHkv+BM=")</f>
        <v>#REF!</v>
      </c>
      <c r="U16" t="e">
        <f>AND(#REF!,"AAAAAHkv+BQ=")</f>
        <v>#REF!</v>
      </c>
      <c r="V16" t="e">
        <f>AND(#REF!,"AAAAAHkv+BU=")</f>
        <v>#REF!</v>
      </c>
      <c r="W16" t="e">
        <f>AND(#REF!,"AAAAAHkv+BY=")</f>
        <v>#REF!</v>
      </c>
      <c r="X16" t="e">
        <f>AND(#REF!,"AAAAAHkv+Bc=")</f>
        <v>#REF!</v>
      </c>
      <c r="Y16" t="e">
        <f>AND(#REF!,"AAAAAHkv+Bg=")</f>
        <v>#REF!</v>
      </c>
      <c r="Z16" t="e">
        <f>AND(#REF!,"AAAAAHkv+Bk=")</f>
        <v>#REF!</v>
      </c>
      <c r="AA16" t="e">
        <f>AND(#REF!,"AAAAAHkv+Bo=")</f>
        <v>#REF!</v>
      </c>
      <c r="AB16" t="e">
        <f>AND(#REF!,"AAAAAHkv+Bs=")</f>
        <v>#REF!</v>
      </c>
      <c r="AC16" t="e">
        <f>AND(#REF!,"AAAAAHkv+Bw=")</f>
        <v>#REF!</v>
      </c>
      <c r="AD16" t="e">
        <f>AND(#REF!,"AAAAAHkv+B0=")</f>
        <v>#REF!</v>
      </c>
      <c r="AE16" t="e">
        <f>AND(#REF!,"AAAAAHkv+B4=")</f>
        <v>#REF!</v>
      </c>
      <c r="AF16" t="e">
        <f>AND(#REF!,"AAAAAHkv+B8=")</f>
        <v>#REF!</v>
      </c>
      <c r="AG16" t="e">
        <f>AND(#REF!,"AAAAAHkv+CA=")</f>
        <v>#REF!</v>
      </c>
      <c r="AH16" t="e">
        <f>AND(#REF!,"AAAAAHkv+CE=")</f>
        <v>#REF!</v>
      </c>
      <c r="AI16" t="e">
        <f>AND(#REF!,"AAAAAHkv+CI=")</f>
        <v>#REF!</v>
      </c>
      <c r="AJ16" t="e">
        <f>AND(#REF!,"AAAAAHkv+CM=")</f>
        <v>#REF!</v>
      </c>
      <c r="AK16" t="e">
        <f>IF(#REF!,"AAAAAHkv+CQ=",0)</f>
        <v>#REF!</v>
      </c>
      <c r="AL16" t="e">
        <f>AND(#REF!,"AAAAAHkv+CU=")</f>
        <v>#REF!</v>
      </c>
      <c r="AM16" t="e">
        <f>AND(#REF!,"AAAAAHkv+CY=")</f>
        <v>#REF!</v>
      </c>
      <c r="AN16" t="e">
        <f>AND(#REF!,"AAAAAHkv+Cc=")</f>
        <v>#REF!</v>
      </c>
      <c r="AO16" t="e">
        <f>AND(#REF!,"AAAAAHkv+Cg=")</f>
        <v>#REF!</v>
      </c>
      <c r="AP16" t="e">
        <f>AND(#REF!,"AAAAAHkv+Ck=")</f>
        <v>#REF!</v>
      </c>
      <c r="AQ16" t="e">
        <f>AND(#REF!,"AAAAAHkv+Co=")</f>
        <v>#REF!</v>
      </c>
      <c r="AR16" t="e">
        <f>AND(#REF!,"AAAAAHkv+Cs=")</f>
        <v>#REF!</v>
      </c>
      <c r="AS16" t="e">
        <f>AND(#REF!,"AAAAAHkv+Cw=")</f>
        <v>#REF!</v>
      </c>
      <c r="AT16" t="e">
        <f>AND(#REF!,"AAAAAHkv+C0=")</f>
        <v>#REF!</v>
      </c>
      <c r="AU16" t="e">
        <f>AND(#REF!,"AAAAAHkv+C4=")</f>
        <v>#REF!</v>
      </c>
      <c r="AV16" t="e">
        <f>AND(#REF!,"AAAAAHkv+C8=")</f>
        <v>#REF!</v>
      </c>
      <c r="AW16" t="e">
        <f>AND(#REF!,"AAAAAHkv+DA=")</f>
        <v>#REF!</v>
      </c>
      <c r="AX16" t="e">
        <f>AND(#REF!,"AAAAAHkv+DE=")</f>
        <v>#REF!</v>
      </c>
      <c r="AY16" t="e">
        <f>AND(#REF!,"AAAAAHkv+DI=")</f>
        <v>#REF!</v>
      </c>
      <c r="AZ16" t="e">
        <f>AND(#REF!,"AAAAAHkv+DM=")</f>
        <v>#REF!</v>
      </c>
      <c r="BA16" t="e">
        <f>AND(#REF!,"AAAAAHkv+DQ=")</f>
        <v>#REF!</v>
      </c>
      <c r="BB16" t="e">
        <f>AND(#REF!,"AAAAAHkv+DU=")</f>
        <v>#REF!</v>
      </c>
      <c r="BC16" t="e">
        <f>IF(#REF!,"AAAAAHkv+DY=",0)</f>
        <v>#REF!</v>
      </c>
      <c r="BD16" t="e">
        <f>AND(#REF!,"AAAAAHkv+Dc=")</f>
        <v>#REF!</v>
      </c>
      <c r="BE16" t="e">
        <f>AND(#REF!,"AAAAAHkv+Dg=")</f>
        <v>#REF!</v>
      </c>
      <c r="BF16" t="e">
        <f>AND(#REF!,"AAAAAHkv+Dk=")</f>
        <v>#REF!</v>
      </c>
      <c r="BG16" t="e">
        <f>AND(#REF!,"AAAAAHkv+Do=")</f>
        <v>#REF!</v>
      </c>
      <c r="BH16" t="e">
        <f>AND(#REF!,"AAAAAHkv+Ds=")</f>
        <v>#REF!</v>
      </c>
      <c r="BI16" t="e">
        <f>AND(#REF!,"AAAAAHkv+Dw=")</f>
        <v>#REF!</v>
      </c>
      <c r="BJ16" t="e">
        <f>AND(#REF!,"AAAAAHkv+D0=")</f>
        <v>#REF!</v>
      </c>
      <c r="BK16" t="e">
        <f>AND(#REF!,"AAAAAHkv+D4=")</f>
        <v>#REF!</v>
      </c>
      <c r="BL16" t="e">
        <f>AND(#REF!,"AAAAAHkv+D8=")</f>
        <v>#REF!</v>
      </c>
      <c r="BM16" t="e">
        <f>AND(#REF!,"AAAAAHkv+EA=")</f>
        <v>#REF!</v>
      </c>
      <c r="BN16" t="e">
        <f>AND(#REF!,"AAAAAHkv+EE=")</f>
        <v>#REF!</v>
      </c>
      <c r="BO16" t="e">
        <f>AND(#REF!,"AAAAAHkv+EI=")</f>
        <v>#REF!</v>
      </c>
      <c r="BP16" t="e">
        <f>AND(#REF!,"AAAAAHkv+EM=")</f>
        <v>#REF!</v>
      </c>
      <c r="BQ16" t="e">
        <f>AND(#REF!,"AAAAAHkv+EQ=")</f>
        <v>#REF!</v>
      </c>
      <c r="BR16" t="e">
        <f>AND(#REF!,"AAAAAHkv+EU=")</f>
        <v>#REF!</v>
      </c>
      <c r="BS16" t="e">
        <f>AND(#REF!,"AAAAAHkv+EY=")</f>
        <v>#REF!</v>
      </c>
      <c r="BT16" t="e">
        <f>AND(#REF!,"AAAAAHkv+Ec=")</f>
        <v>#REF!</v>
      </c>
      <c r="BU16" t="e">
        <f>IF(#REF!,"AAAAAHkv+Eg=",0)</f>
        <v>#REF!</v>
      </c>
      <c r="BV16" t="e">
        <f>AND(#REF!,"AAAAAHkv+Ek=")</f>
        <v>#REF!</v>
      </c>
      <c r="BW16" t="e">
        <f>AND(#REF!,"AAAAAHkv+Eo=")</f>
        <v>#REF!</v>
      </c>
      <c r="BX16" t="e">
        <f>AND(#REF!,"AAAAAHkv+Es=")</f>
        <v>#REF!</v>
      </c>
      <c r="BY16" t="e">
        <f>AND(#REF!,"AAAAAHkv+Ew=")</f>
        <v>#REF!</v>
      </c>
      <c r="BZ16" t="e">
        <f>AND(#REF!,"AAAAAHkv+E0=")</f>
        <v>#REF!</v>
      </c>
      <c r="CA16" t="e">
        <f>AND(#REF!,"AAAAAHkv+E4=")</f>
        <v>#REF!</v>
      </c>
      <c r="CB16" t="e">
        <f>AND(#REF!,"AAAAAHkv+E8=")</f>
        <v>#REF!</v>
      </c>
      <c r="CC16" t="e">
        <f>AND(#REF!,"AAAAAHkv+FA=")</f>
        <v>#REF!</v>
      </c>
      <c r="CD16" t="e">
        <f>AND(#REF!,"AAAAAHkv+FE=")</f>
        <v>#REF!</v>
      </c>
      <c r="CE16" t="e">
        <f>AND(#REF!,"AAAAAHkv+FI=")</f>
        <v>#REF!</v>
      </c>
      <c r="CF16" t="e">
        <f>AND(#REF!,"AAAAAHkv+FM=")</f>
        <v>#REF!</v>
      </c>
      <c r="CG16" t="e">
        <f>AND(#REF!,"AAAAAHkv+FQ=")</f>
        <v>#REF!</v>
      </c>
      <c r="CH16" t="e">
        <f>AND(#REF!,"AAAAAHkv+FU=")</f>
        <v>#REF!</v>
      </c>
      <c r="CI16" t="e">
        <f>AND(#REF!,"AAAAAHkv+FY=")</f>
        <v>#REF!</v>
      </c>
      <c r="CJ16" t="e">
        <f>AND(#REF!,"AAAAAHkv+Fc=")</f>
        <v>#REF!</v>
      </c>
      <c r="CK16" t="e">
        <f>AND(#REF!,"AAAAAHkv+Fg=")</f>
        <v>#REF!</v>
      </c>
      <c r="CL16" t="e">
        <f>AND(#REF!,"AAAAAHkv+Fk=")</f>
        <v>#REF!</v>
      </c>
      <c r="CM16" t="e">
        <f>IF(#REF!,"AAAAAHkv+Fo=",0)</f>
        <v>#REF!</v>
      </c>
      <c r="CN16" t="e">
        <f>AND(#REF!,"AAAAAHkv+Fs=")</f>
        <v>#REF!</v>
      </c>
      <c r="CO16" t="e">
        <f>AND(#REF!,"AAAAAHkv+Fw=")</f>
        <v>#REF!</v>
      </c>
      <c r="CP16" t="e">
        <f>AND(#REF!,"AAAAAHkv+F0=")</f>
        <v>#REF!</v>
      </c>
      <c r="CQ16" t="e">
        <f>AND(#REF!,"AAAAAHkv+F4=")</f>
        <v>#REF!</v>
      </c>
      <c r="CR16" t="e">
        <f>AND(#REF!,"AAAAAHkv+F8=")</f>
        <v>#REF!</v>
      </c>
      <c r="CS16" t="e">
        <f>AND(#REF!,"AAAAAHkv+GA=")</f>
        <v>#REF!</v>
      </c>
      <c r="CT16" t="e">
        <f>AND(#REF!,"AAAAAHkv+GE=")</f>
        <v>#REF!</v>
      </c>
      <c r="CU16" t="e">
        <f>AND(#REF!,"AAAAAHkv+GI=")</f>
        <v>#REF!</v>
      </c>
      <c r="CV16" t="e">
        <f>AND(#REF!,"AAAAAHkv+GM=")</f>
        <v>#REF!</v>
      </c>
      <c r="CW16" t="e">
        <f>AND(#REF!,"AAAAAHkv+GQ=")</f>
        <v>#REF!</v>
      </c>
      <c r="CX16" t="e">
        <f>AND(#REF!,"AAAAAHkv+GU=")</f>
        <v>#REF!</v>
      </c>
      <c r="CY16" t="e">
        <f>AND(#REF!,"AAAAAHkv+GY=")</f>
        <v>#REF!</v>
      </c>
      <c r="CZ16" t="e">
        <f>AND(#REF!,"AAAAAHkv+Gc=")</f>
        <v>#REF!</v>
      </c>
      <c r="DA16" t="e">
        <f>AND(#REF!,"AAAAAHkv+Gg=")</f>
        <v>#REF!</v>
      </c>
      <c r="DB16" t="e">
        <f>AND(#REF!,"AAAAAHkv+Gk=")</f>
        <v>#REF!</v>
      </c>
      <c r="DC16" t="e">
        <f>AND(#REF!,"AAAAAHkv+Go=")</f>
        <v>#REF!</v>
      </c>
      <c r="DD16" t="e">
        <f>AND(#REF!,"AAAAAHkv+Gs=")</f>
        <v>#REF!</v>
      </c>
      <c r="DE16" t="e">
        <f>IF(#REF!,"AAAAAHkv+Gw=",0)</f>
        <v>#REF!</v>
      </c>
      <c r="DF16" t="e">
        <f>AND(#REF!,"AAAAAHkv+G0=")</f>
        <v>#REF!</v>
      </c>
      <c r="DG16" t="e">
        <f>AND(#REF!,"AAAAAHkv+G4=")</f>
        <v>#REF!</v>
      </c>
      <c r="DH16" t="e">
        <f>AND(#REF!,"AAAAAHkv+G8=")</f>
        <v>#REF!</v>
      </c>
      <c r="DI16" t="e">
        <f>AND(#REF!,"AAAAAHkv+HA=")</f>
        <v>#REF!</v>
      </c>
      <c r="DJ16" t="e">
        <f>AND(#REF!,"AAAAAHkv+HE=")</f>
        <v>#REF!</v>
      </c>
      <c r="DK16" t="e">
        <f>AND(#REF!,"AAAAAHkv+HI=")</f>
        <v>#REF!</v>
      </c>
      <c r="DL16" t="e">
        <f>AND(#REF!,"AAAAAHkv+HM=")</f>
        <v>#REF!</v>
      </c>
      <c r="DM16" t="e">
        <f>AND(#REF!,"AAAAAHkv+HQ=")</f>
        <v>#REF!</v>
      </c>
      <c r="DN16" t="e">
        <f>AND(#REF!,"AAAAAHkv+HU=")</f>
        <v>#REF!</v>
      </c>
      <c r="DO16" t="e">
        <f>AND(#REF!,"AAAAAHkv+HY=")</f>
        <v>#REF!</v>
      </c>
      <c r="DP16" t="e">
        <f>AND(#REF!,"AAAAAHkv+Hc=")</f>
        <v>#REF!</v>
      </c>
      <c r="DQ16" t="e">
        <f>AND(#REF!,"AAAAAHkv+Hg=")</f>
        <v>#REF!</v>
      </c>
      <c r="DR16" t="e">
        <f>AND(#REF!,"AAAAAHkv+Hk=")</f>
        <v>#REF!</v>
      </c>
      <c r="DS16" t="e">
        <f>AND(#REF!,"AAAAAHkv+Ho=")</f>
        <v>#REF!</v>
      </c>
      <c r="DT16" t="e">
        <f>AND(#REF!,"AAAAAHkv+Hs=")</f>
        <v>#REF!</v>
      </c>
      <c r="DU16" t="e">
        <f>AND(#REF!,"AAAAAHkv+Hw=")</f>
        <v>#REF!</v>
      </c>
      <c r="DV16" t="e">
        <f>AND(#REF!,"AAAAAHkv+H0=")</f>
        <v>#REF!</v>
      </c>
      <c r="DW16" t="e">
        <f>IF(#REF!,"AAAAAHkv+H4=",0)</f>
        <v>#REF!</v>
      </c>
      <c r="DX16" t="e">
        <f>AND(#REF!,"AAAAAHkv+H8=")</f>
        <v>#REF!</v>
      </c>
      <c r="DY16" t="e">
        <f>AND(#REF!,"AAAAAHkv+IA=")</f>
        <v>#REF!</v>
      </c>
      <c r="DZ16" t="e">
        <f>AND(#REF!,"AAAAAHkv+IE=")</f>
        <v>#REF!</v>
      </c>
      <c r="EA16" t="e">
        <f>AND(#REF!,"AAAAAHkv+II=")</f>
        <v>#REF!</v>
      </c>
      <c r="EB16" t="e">
        <f>AND(#REF!,"AAAAAHkv+IM=")</f>
        <v>#REF!</v>
      </c>
      <c r="EC16" t="e">
        <f>AND(#REF!,"AAAAAHkv+IQ=")</f>
        <v>#REF!</v>
      </c>
      <c r="ED16" t="e">
        <f>AND(#REF!,"AAAAAHkv+IU=")</f>
        <v>#REF!</v>
      </c>
      <c r="EE16" t="e">
        <f>AND(#REF!,"AAAAAHkv+IY=")</f>
        <v>#REF!</v>
      </c>
      <c r="EF16" t="e">
        <f>AND(#REF!,"AAAAAHkv+Ic=")</f>
        <v>#REF!</v>
      </c>
      <c r="EG16" t="e">
        <f>AND(#REF!,"AAAAAHkv+Ig=")</f>
        <v>#REF!</v>
      </c>
      <c r="EH16" t="e">
        <f>AND(#REF!,"AAAAAHkv+Ik=")</f>
        <v>#REF!</v>
      </c>
      <c r="EI16" t="e">
        <f>AND(#REF!,"AAAAAHkv+Io=")</f>
        <v>#REF!</v>
      </c>
      <c r="EJ16" t="e">
        <f>AND(#REF!,"AAAAAHkv+Is=")</f>
        <v>#REF!</v>
      </c>
      <c r="EK16" t="e">
        <f>AND(#REF!,"AAAAAHkv+Iw=")</f>
        <v>#REF!</v>
      </c>
      <c r="EL16" t="e">
        <f>AND(#REF!,"AAAAAHkv+I0=")</f>
        <v>#REF!</v>
      </c>
      <c r="EM16" t="e">
        <f>AND(#REF!,"AAAAAHkv+I4=")</f>
        <v>#REF!</v>
      </c>
      <c r="EN16" t="e">
        <f>AND(#REF!,"AAAAAHkv+I8=")</f>
        <v>#REF!</v>
      </c>
      <c r="EO16" t="e">
        <f>IF(#REF!,"AAAAAHkv+JA=",0)</f>
        <v>#REF!</v>
      </c>
      <c r="EP16" t="e">
        <f>AND(#REF!,"AAAAAHkv+JE=")</f>
        <v>#REF!</v>
      </c>
      <c r="EQ16" t="e">
        <f>AND(#REF!,"AAAAAHkv+JI=")</f>
        <v>#REF!</v>
      </c>
      <c r="ER16" t="e">
        <f>AND(#REF!,"AAAAAHkv+JM=")</f>
        <v>#REF!</v>
      </c>
      <c r="ES16" t="e">
        <f>AND(#REF!,"AAAAAHkv+JQ=")</f>
        <v>#REF!</v>
      </c>
      <c r="ET16" t="e">
        <f>AND(#REF!,"AAAAAHkv+JU=")</f>
        <v>#REF!</v>
      </c>
      <c r="EU16" t="e">
        <f>AND(#REF!,"AAAAAHkv+JY=")</f>
        <v>#REF!</v>
      </c>
      <c r="EV16" t="e">
        <f>AND(#REF!,"AAAAAHkv+Jc=")</f>
        <v>#REF!</v>
      </c>
      <c r="EW16" t="e">
        <f>AND(#REF!,"AAAAAHkv+Jg=")</f>
        <v>#REF!</v>
      </c>
      <c r="EX16" t="e">
        <f>AND(#REF!,"AAAAAHkv+Jk=")</f>
        <v>#REF!</v>
      </c>
      <c r="EY16" t="e">
        <f>AND(#REF!,"AAAAAHkv+Jo=")</f>
        <v>#REF!</v>
      </c>
      <c r="EZ16" t="e">
        <f>AND(#REF!,"AAAAAHkv+Js=")</f>
        <v>#REF!</v>
      </c>
      <c r="FA16" t="e">
        <f>AND(#REF!,"AAAAAHkv+Jw=")</f>
        <v>#REF!</v>
      </c>
      <c r="FB16" t="e">
        <f>AND(#REF!,"AAAAAHkv+J0=")</f>
        <v>#REF!</v>
      </c>
      <c r="FC16" t="e">
        <f>AND(#REF!,"AAAAAHkv+J4=")</f>
        <v>#REF!</v>
      </c>
      <c r="FD16" t="e">
        <f>AND(#REF!,"AAAAAHkv+J8=")</f>
        <v>#REF!</v>
      </c>
      <c r="FE16" t="e">
        <f>AND(#REF!,"AAAAAHkv+KA=")</f>
        <v>#REF!</v>
      </c>
      <c r="FF16" t="e">
        <f>AND(#REF!,"AAAAAHkv+KE=")</f>
        <v>#REF!</v>
      </c>
      <c r="FG16" t="e">
        <f>IF(#REF!,"AAAAAHkv+KI=",0)</f>
        <v>#REF!</v>
      </c>
      <c r="FH16" t="e">
        <f>AND(#REF!,"AAAAAHkv+KM=")</f>
        <v>#REF!</v>
      </c>
      <c r="FI16" t="e">
        <f>AND(#REF!,"AAAAAHkv+KQ=")</f>
        <v>#REF!</v>
      </c>
      <c r="FJ16" t="e">
        <f>AND(#REF!,"AAAAAHkv+KU=")</f>
        <v>#REF!</v>
      </c>
      <c r="FK16" t="e">
        <f>AND(#REF!,"AAAAAHkv+KY=")</f>
        <v>#REF!</v>
      </c>
      <c r="FL16" t="e">
        <f>AND(#REF!,"AAAAAHkv+Kc=")</f>
        <v>#REF!</v>
      </c>
      <c r="FM16" t="e">
        <f>AND(#REF!,"AAAAAHkv+Kg=")</f>
        <v>#REF!</v>
      </c>
      <c r="FN16" t="e">
        <f>AND(#REF!,"AAAAAHkv+Kk=")</f>
        <v>#REF!</v>
      </c>
      <c r="FO16" t="e">
        <f>AND(#REF!,"AAAAAHkv+Ko=")</f>
        <v>#REF!</v>
      </c>
      <c r="FP16" t="e">
        <f>AND(#REF!,"AAAAAHkv+Ks=")</f>
        <v>#REF!</v>
      </c>
      <c r="FQ16" t="e">
        <f>AND(#REF!,"AAAAAHkv+Kw=")</f>
        <v>#REF!</v>
      </c>
      <c r="FR16" t="e">
        <f>AND(#REF!,"AAAAAHkv+K0=")</f>
        <v>#REF!</v>
      </c>
      <c r="FS16" t="e">
        <f>AND(#REF!,"AAAAAHkv+K4=")</f>
        <v>#REF!</v>
      </c>
      <c r="FT16" t="e">
        <f>AND(#REF!,"AAAAAHkv+K8=")</f>
        <v>#REF!</v>
      </c>
      <c r="FU16" t="e">
        <f>AND(#REF!,"AAAAAHkv+LA=")</f>
        <v>#REF!</v>
      </c>
      <c r="FV16" t="e">
        <f>AND(#REF!,"AAAAAHkv+LE=")</f>
        <v>#REF!</v>
      </c>
      <c r="FW16" t="e">
        <f>AND(#REF!,"AAAAAHkv+LI=")</f>
        <v>#REF!</v>
      </c>
      <c r="FX16" t="e">
        <f>AND(#REF!,"AAAAAHkv+LM=")</f>
        <v>#REF!</v>
      </c>
      <c r="FY16" t="e">
        <f>IF(#REF!,"AAAAAHkv+LQ=",0)</f>
        <v>#REF!</v>
      </c>
      <c r="FZ16" t="e">
        <f>AND(#REF!,"AAAAAHkv+LU=")</f>
        <v>#REF!</v>
      </c>
      <c r="GA16" t="e">
        <f>AND(#REF!,"AAAAAHkv+LY=")</f>
        <v>#REF!</v>
      </c>
      <c r="GB16" t="e">
        <f>AND(#REF!,"AAAAAHkv+Lc=")</f>
        <v>#REF!</v>
      </c>
      <c r="GC16" t="e">
        <f>AND(#REF!,"AAAAAHkv+Lg=")</f>
        <v>#REF!</v>
      </c>
      <c r="GD16" t="e">
        <f>AND(#REF!,"AAAAAHkv+Lk=")</f>
        <v>#REF!</v>
      </c>
      <c r="GE16" t="e">
        <f>AND(#REF!,"AAAAAHkv+Lo=")</f>
        <v>#REF!</v>
      </c>
      <c r="GF16" t="e">
        <f>AND(#REF!,"AAAAAHkv+Ls=")</f>
        <v>#REF!</v>
      </c>
      <c r="GG16" t="e">
        <f>AND(#REF!,"AAAAAHkv+Lw=")</f>
        <v>#REF!</v>
      </c>
      <c r="GH16" t="e">
        <f>AND(#REF!,"AAAAAHkv+L0=")</f>
        <v>#REF!</v>
      </c>
      <c r="GI16" t="e">
        <f>AND(#REF!,"AAAAAHkv+L4=")</f>
        <v>#REF!</v>
      </c>
      <c r="GJ16" t="e">
        <f>AND(#REF!,"AAAAAHkv+L8=")</f>
        <v>#REF!</v>
      </c>
      <c r="GK16" t="e">
        <f>AND(#REF!,"AAAAAHkv+MA=")</f>
        <v>#REF!</v>
      </c>
      <c r="GL16" t="e">
        <f>AND(#REF!,"AAAAAHkv+ME=")</f>
        <v>#REF!</v>
      </c>
      <c r="GM16" t="e">
        <f>AND(#REF!,"AAAAAHkv+MI=")</f>
        <v>#REF!</v>
      </c>
      <c r="GN16" t="e">
        <f>AND(#REF!,"AAAAAHkv+MM=")</f>
        <v>#REF!</v>
      </c>
      <c r="GO16" t="e">
        <f>AND(#REF!,"AAAAAHkv+MQ=")</f>
        <v>#REF!</v>
      </c>
      <c r="GP16" t="e">
        <f>AND(#REF!,"AAAAAHkv+MU=")</f>
        <v>#REF!</v>
      </c>
      <c r="GQ16" t="e">
        <f>IF(#REF!,"AAAAAHkv+MY=",0)</f>
        <v>#REF!</v>
      </c>
      <c r="GR16" t="e">
        <f>AND(#REF!,"AAAAAHkv+Mc=")</f>
        <v>#REF!</v>
      </c>
      <c r="GS16" t="e">
        <f>AND(#REF!,"AAAAAHkv+Mg=")</f>
        <v>#REF!</v>
      </c>
      <c r="GT16" t="e">
        <f>AND(#REF!,"AAAAAHkv+Mk=")</f>
        <v>#REF!</v>
      </c>
      <c r="GU16" t="e">
        <f>AND(#REF!,"AAAAAHkv+Mo=")</f>
        <v>#REF!</v>
      </c>
      <c r="GV16" t="e">
        <f>AND(#REF!,"AAAAAHkv+Ms=")</f>
        <v>#REF!</v>
      </c>
      <c r="GW16" t="e">
        <f>AND(#REF!,"AAAAAHkv+Mw=")</f>
        <v>#REF!</v>
      </c>
      <c r="GX16" t="e">
        <f>AND(#REF!,"AAAAAHkv+M0=")</f>
        <v>#REF!</v>
      </c>
      <c r="GY16" t="e">
        <f>AND(#REF!,"AAAAAHkv+M4=")</f>
        <v>#REF!</v>
      </c>
      <c r="GZ16" t="e">
        <f>AND(#REF!,"AAAAAHkv+M8=")</f>
        <v>#REF!</v>
      </c>
      <c r="HA16" t="e">
        <f>AND(#REF!,"AAAAAHkv+NA=")</f>
        <v>#REF!</v>
      </c>
      <c r="HB16" t="e">
        <f>AND(#REF!,"AAAAAHkv+NE=")</f>
        <v>#REF!</v>
      </c>
      <c r="HC16" t="e">
        <f>AND(#REF!,"AAAAAHkv+NI=")</f>
        <v>#REF!</v>
      </c>
      <c r="HD16" t="e">
        <f>AND(#REF!,"AAAAAHkv+NM=")</f>
        <v>#REF!</v>
      </c>
      <c r="HE16" t="e">
        <f>AND(#REF!,"AAAAAHkv+NQ=")</f>
        <v>#REF!</v>
      </c>
      <c r="HF16" t="e">
        <f>AND(#REF!,"AAAAAHkv+NU=")</f>
        <v>#REF!</v>
      </c>
      <c r="HG16" t="e">
        <f>AND(#REF!,"AAAAAHkv+NY=")</f>
        <v>#REF!</v>
      </c>
      <c r="HH16" t="e">
        <f>AND(#REF!,"AAAAAHkv+Nc=")</f>
        <v>#REF!</v>
      </c>
      <c r="HI16" t="e">
        <f>IF(#REF!,"AAAAAHkv+Ng=",0)</f>
        <v>#REF!</v>
      </c>
      <c r="HJ16" t="e">
        <f>AND(#REF!,"AAAAAHkv+Nk=")</f>
        <v>#REF!</v>
      </c>
      <c r="HK16" t="e">
        <f>AND(#REF!,"AAAAAHkv+No=")</f>
        <v>#REF!</v>
      </c>
      <c r="HL16" t="e">
        <f>AND(#REF!,"AAAAAHkv+Ns=")</f>
        <v>#REF!</v>
      </c>
      <c r="HM16" t="e">
        <f>AND(#REF!,"AAAAAHkv+Nw=")</f>
        <v>#REF!</v>
      </c>
      <c r="HN16" t="e">
        <f>AND(#REF!,"AAAAAHkv+N0=")</f>
        <v>#REF!</v>
      </c>
      <c r="HO16" t="e">
        <f>AND(#REF!,"AAAAAHkv+N4=")</f>
        <v>#REF!</v>
      </c>
      <c r="HP16" t="e">
        <f>AND(#REF!,"AAAAAHkv+N8=")</f>
        <v>#REF!</v>
      </c>
      <c r="HQ16" t="e">
        <f>AND(#REF!,"AAAAAHkv+OA=")</f>
        <v>#REF!</v>
      </c>
      <c r="HR16" t="e">
        <f>AND(#REF!,"AAAAAHkv+OE=")</f>
        <v>#REF!</v>
      </c>
      <c r="HS16" t="e">
        <f>AND(#REF!,"AAAAAHkv+OI=")</f>
        <v>#REF!</v>
      </c>
      <c r="HT16" t="e">
        <f>AND(#REF!,"AAAAAHkv+OM=")</f>
        <v>#REF!</v>
      </c>
      <c r="HU16" t="e">
        <f>AND(#REF!,"AAAAAHkv+OQ=")</f>
        <v>#REF!</v>
      </c>
      <c r="HV16" t="e">
        <f>AND(#REF!,"AAAAAHkv+OU=")</f>
        <v>#REF!</v>
      </c>
      <c r="HW16" t="e">
        <f>AND(#REF!,"AAAAAHkv+OY=")</f>
        <v>#REF!</v>
      </c>
      <c r="HX16" t="e">
        <f>AND(#REF!,"AAAAAHkv+Oc=")</f>
        <v>#REF!</v>
      </c>
      <c r="HY16" t="e">
        <f>AND(#REF!,"AAAAAHkv+Og=")</f>
        <v>#REF!</v>
      </c>
      <c r="HZ16" t="e">
        <f>AND(#REF!,"AAAAAHkv+Ok=")</f>
        <v>#REF!</v>
      </c>
      <c r="IA16" t="e">
        <f>IF(#REF!,"AAAAAHkv+Oo=",0)</f>
        <v>#REF!</v>
      </c>
      <c r="IB16" t="e">
        <f>AND(#REF!,"AAAAAHkv+Os=")</f>
        <v>#REF!</v>
      </c>
      <c r="IC16" t="e">
        <f>AND(#REF!,"AAAAAHkv+Ow=")</f>
        <v>#REF!</v>
      </c>
      <c r="ID16" t="e">
        <f>AND(#REF!,"AAAAAHkv+O0=")</f>
        <v>#REF!</v>
      </c>
      <c r="IE16" t="e">
        <f>AND(#REF!,"AAAAAHkv+O4=")</f>
        <v>#REF!</v>
      </c>
      <c r="IF16" t="e">
        <f>AND(#REF!,"AAAAAHkv+O8=")</f>
        <v>#REF!</v>
      </c>
      <c r="IG16" t="e">
        <f>AND(#REF!,"AAAAAHkv+PA=")</f>
        <v>#REF!</v>
      </c>
      <c r="IH16" t="e">
        <f>AND(#REF!,"AAAAAHkv+PE=")</f>
        <v>#REF!</v>
      </c>
      <c r="II16" t="e">
        <f>AND(#REF!,"AAAAAHkv+PI=")</f>
        <v>#REF!</v>
      </c>
      <c r="IJ16" t="e">
        <f>AND(#REF!,"AAAAAHkv+PM=")</f>
        <v>#REF!</v>
      </c>
      <c r="IK16" t="e">
        <f>AND(#REF!,"AAAAAHkv+PQ=")</f>
        <v>#REF!</v>
      </c>
      <c r="IL16" t="e">
        <f>AND(#REF!,"AAAAAHkv+PU=")</f>
        <v>#REF!</v>
      </c>
      <c r="IM16" t="e">
        <f>AND(#REF!,"AAAAAHkv+PY=")</f>
        <v>#REF!</v>
      </c>
      <c r="IN16" t="e">
        <f>AND(#REF!,"AAAAAHkv+Pc=")</f>
        <v>#REF!</v>
      </c>
      <c r="IO16" t="e">
        <f>AND(#REF!,"AAAAAHkv+Pg=")</f>
        <v>#REF!</v>
      </c>
      <c r="IP16" t="e">
        <f>AND(#REF!,"AAAAAHkv+Pk=")</f>
        <v>#REF!</v>
      </c>
      <c r="IQ16" t="e">
        <f>AND(#REF!,"AAAAAHkv+Po=")</f>
        <v>#REF!</v>
      </c>
      <c r="IR16" t="e">
        <f>AND(#REF!,"AAAAAHkv+Ps=")</f>
        <v>#REF!</v>
      </c>
      <c r="IS16" t="e">
        <f>IF(#REF!,"AAAAAHkv+Pw=",0)</f>
        <v>#REF!</v>
      </c>
      <c r="IT16" t="e">
        <f>AND(#REF!,"AAAAAHkv+P0=")</f>
        <v>#REF!</v>
      </c>
      <c r="IU16" t="e">
        <f>AND(#REF!,"AAAAAHkv+P4=")</f>
        <v>#REF!</v>
      </c>
      <c r="IV16" t="e">
        <f>AND(#REF!,"AAAAAHkv+P8=")</f>
        <v>#REF!</v>
      </c>
    </row>
    <row r="17" spans="1:256">
      <c r="A17" t="e">
        <f>AND(#REF!,"AAAAAH9+fwA=")</f>
        <v>#REF!</v>
      </c>
      <c r="B17" t="e">
        <f>AND(#REF!,"AAAAAH9+fwE=")</f>
        <v>#REF!</v>
      </c>
      <c r="C17" t="e">
        <f>AND(#REF!,"AAAAAH9+fwI=")</f>
        <v>#REF!</v>
      </c>
      <c r="D17" t="e">
        <f>AND(#REF!,"AAAAAH9+fwM=")</f>
        <v>#REF!</v>
      </c>
      <c r="E17" t="e">
        <f>AND(#REF!,"AAAAAH9+fwQ=")</f>
        <v>#REF!</v>
      </c>
      <c r="F17" t="e">
        <f>AND(#REF!,"AAAAAH9+fwU=")</f>
        <v>#REF!</v>
      </c>
      <c r="G17" t="e">
        <f>AND(#REF!,"AAAAAH9+fwY=")</f>
        <v>#REF!</v>
      </c>
      <c r="H17" t="e">
        <f>AND(#REF!,"AAAAAH9+fwc=")</f>
        <v>#REF!</v>
      </c>
      <c r="I17" t="e">
        <f>AND(#REF!,"AAAAAH9+fwg=")</f>
        <v>#REF!</v>
      </c>
      <c r="J17" t="e">
        <f>AND(#REF!,"AAAAAH9+fwk=")</f>
        <v>#REF!</v>
      </c>
      <c r="K17" t="e">
        <f>AND(#REF!,"AAAAAH9+fwo=")</f>
        <v>#REF!</v>
      </c>
      <c r="L17" t="e">
        <f>AND(#REF!,"AAAAAH9+fws=")</f>
        <v>#REF!</v>
      </c>
      <c r="M17" t="e">
        <f>AND(#REF!,"AAAAAH9+fww=")</f>
        <v>#REF!</v>
      </c>
      <c r="N17" t="e">
        <f>AND(#REF!,"AAAAAH9+fw0=")</f>
        <v>#REF!</v>
      </c>
      <c r="O17" t="e">
        <f>IF(#REF!,"AAAAAH9+fw4=",0)</f>
        <v>#REF!</v>
      </c>
      <c r="P17" t="e">
        <f>AND(#REF!,"AAAAAH9+fw8=")</f>
        <v>#REF!</v>
      </c>
      <c r="Q17" t="e">
        <f>AND(#REF!,"AAAAAH9+fxA=")</f>
        <v>#REF!</v>
      </c>
      <c r="R17" t="e">
        <f>AND(#REF!,"AAAAAH9+fxE=")</f>
        <v>#REF!</v>
      </c>
      <c r="S17" t="e">
        <f>AND(#REF!,"AAAAAH9+fxI=")</f>
        <v>#REF!</v>
      </c>
      <c r="T17" t="e">
        <f>AND(#REF!,"AAAAAH9+fxM=")</f>
        <v>#REF!</v>
      </c>
      <c r="U17" t="e">
        <f>AND(#REF!,"AAAAAH9+fxQ=")</f>
        <v>#REF!</v>
      </c>
      <c r="V17" t="e">
        <f>AND(#REF!,"AAAAAH9+fxU=")</f>
        <v>#REF!</v>
      </c>
      <c r="W17" t="e">
        <f>AND(#REF!,"AAAAAH9+fxY=")</f>
        <v>#REF!</v>
      </c>
      <c r="X17" t="e">
        <f>AND(#REF!,"AAAAAH9+fxc=")</f>
        <v>#REF!</v>
      </c>
      <c r="Y17" t="e">
        <f>AND(#REF!,"AAAAAH9+fxg=")</f>
        <v>#REF!</v>
      </c>
      <c r="Z17" t="e">
        <f>AND(#REF!,"AAAAAH9+fxk=")</f>
        <v>#REF!</v>
      </c>
      <c r="AA17" t="e">
        <f>AND(#REF!,"AAAAAH9+fxo=")</f>
        <v>#REF!</v>
      </c>
      <c r="AB17" t="e">
        <f>AND(#REF!,"AAAAAH9+fxs=")</f>
        <v>#REF!</v>
      </c>
      <c r="AC17" t="e">
        <f>AND(#REF!,"AAAAAH9+fxw=")</f>
        <v>#REF!</v>
      </c>
      <c r="AD17" t="e">
        <f>AND(#REF!,"AAAAAH9+fx0=")</f>
        <v>#REF!</v>
      </c>
      <c r="AE17" t="e">
        <f>AND(#REF!,"AAAAAH9+fx4=")</f>
        <v>#REF!</v>
      </c>
      <c r="AF17" t="e">
        <f>AND(#REF!,"AAAAAH9+fx8=")</f>
        <v>#REF!</v>
      </c>
      <c r="AG17" t="e">
        <f>IF(#REF!,"AAAAAH9+fyA=",0)</f>
        <v>#REF!</v>
      </c>
      <c r="AH17" t="e">
        <f>AND(#REF!,"AAAAAH9+fyE=")</f>
        <v>#REF!</v>
      </c>
      <c r="AI17" t="e">
        <f>AND(#REF!,"AAAAAH9+fyI=")</f>
        <v>#REF!</v>
      </c>
      <c r="AJ17" t="e">
        <f>AND(#REF!,"AAAAAH9+fyM=")</f>
        <v>#REF!</v>
      </c>
      <c r="AK17" t="e">
        <f>AND(#REF!,"AAAAAH9+fyQ=")</f>
        <v>#REF!</v>
      </c>
      <c r="AL17" t="e">
        <f>AND(#REF!,"AAAAAH9+fyU=")</f>
        <v>#REF!</v>
      </c>
      <c r="AM17" t="e">
        <f>AND(#REF!,"AAAAAH9+fyY=")</f>
        <v>#REF!</v>
      </c>
      <c r="AN17" t="e">
        <f>AND(#REF!,"AAAAAH9+fyc=")</f>
        <v>#REF!</v>
      </c>
      <c r="AO17" t="e">
        <f>AND(#REF!,"AAAAAH9+fyg=")</f>
        <v>#REF!</v>
      </c>
      <c r="AP17" t="e">
        <f>AND(#REF!,"AAAAAH9+fyk=")</f>
        <v>#REF!</v>
      </c>
      <c r="AQ17" t="e">
        <f>AND(#REF!,"AAAAAH9+fyo=")</f>
        <v>#REF!</v>
      </c>
      <c r="AR17" t="e">
        <f>AND(#REF!,"AAAAAH9+fys=")</f>
        <v>#REF!</v>
      </c>
      <c r="AS17" t="e">
        <f>AND(#REF!,"AAAAAH9+fyw=")</f>
        <v>#REF!</v>
      </c>
      <c r="AT17" t="e">
        <f>AND(#REF!,"AAAAAH9+fy0=")</f>
        <v>#REF!</v>
      </c>
      <c r="AU17" t="e">
        <f>AND(#REF!,"AAAAAH9+fy4=")</f>
        <v>#REF!</v>
      </c>
      <c r="AV17" t="e">
        <f>AND(#REF!,"AAAAAH9+fy8=")</f>
        <v>#REF!</v>
      </c>
      <c r="AW17" t="e">
        <f>AND(#REF!,"AAAAAH9+fzA=")</f>
        <v>#REF!</v>
      </c>
      <c r="AX17" t="e">
        <f>AND(#REF!,"AAAAAH9+fzE=")</f>
        <v>#REF!</v>
      </c>
      <c r="AY17" t="e">
        <f>IF(#REF!,"AAAAAH9+fzI=",0)</f>
        <v>#REF!</v>
      </c>
      <c r="AZ17" t="e">
        <f>AND(#REF!,"AAAAAH9+fzM=")</f>
        <v>#REF!</v>
      </c>
      <c r="BA17" t="e">
        <f>AND(#REF!,"AAAAAH9+fzQ=")</f>
        <v>#REF!</v>
      </c>
      <c r="BB17" t="e">
        <f>AND(#REF!,"AAAAAH9+fzU=")</f>
        <v>#REF!</v>
      </c>
      <c r="BC17" t="e">
        <f>AND(#REF!,"AAAAAH9+fzY=")</f>
        <v>#REF!</v>
      </c>
      <c r="BD17" t="e">
        <f>AND(#REF!,"AAAAAH9+fzc=")</f>
        <v>#REF!</v>
      </c>
      <c r="BE17" t="e">
        <f>AND(#REF!,"AAAAAH9+fzg=")</f>
        <v>#REF!</v>
      </c>
      <c r="BF17" t="e">
        <f>AND(#REF!,"AAAAAH9+fzk=")</f>
        <v>#REF!</v>
      </c>
      <c r="BG17" t="e">
        <f>AND(#REF!,"AAAAAH9+fzo=")</f>
        <v>#REF!</v>
      </c>
      <c r="BH17" t="e">
        <f>AND(#REF!,"AAAAAH9+fzs=")</f>
        <v>#REF!</v>
      </c>
      <c r="BI17" t="e">
        <f>AND(#REF!,"AAAAAH9+fzw=")</f>
        <v>#REF!</v>
      </c>
      <c r="BJ17" t="e">
        <f>AND(#REF!,"AAAAAH9+fz0=")</f>
        <v>#REF!</v>
      </c>
      <c r="BK17" t="e">
        <f>AND(#REF!,"AAAAAH9+fz4=")</f>
        <v>#REF!</v>
      </c>
      <c r="BL17" t="e">
        <f>AND(#REF!,"AAAAAH9+fz8=")</f>
        <v>#REF!</v>
      </c>
      <c r="BM17" t="e">
        <f>AND(#REF!,"AAAAAH9+f0A=")</f>
        <v>#REF!</v>
      </c>
      <c r="BN17" t="e">
        <f>AND(#REF!,"AAAAAH9+f0E=")</f>
        <v>#REF!</v>
      </c>
      <c r="BO17" t="e">
        <f>AND(#REF!,"AAAAAH9+f0I=")</f>
        <v>#REF!</v>
      </c>
      <c r="BP17" t="e">
        <f>AND(#REF!,"AAAAAH9+f0M=")</f>
        <v>#REF!</v>
      </c>
      <c r="BQ17" t="e">
        <f>IF(#REF!,"AAAAAH9+f0Q=",0)</f>
        <v>#REF!</v>
      </c>
      <c r="BR17" t="e">
        <f>AND(#REF!,"AAAAAH9+f0U=")</f>
        <v>#REF!</v>
      </c>
      <c r="BS17" t="e">
        <f>AND(#REF!,"AAAAAH9+f0Y=")</f>
        <v>#REF!</v>
      </c>
      <c r="BT17" t="e">
        <f>AND(#REF!,"AAAAAH9+f0c=")</f>
        <v>#REF!</v>
      </c>
      <c r="BU17" t="e">
        <f>AND(#REF!,"AAAAAH9+f0g=")</f>
        <v>#REF!</v>
      </c>
      <c r="BV17" t="e">
        <f>AND(#REF!,"AAAAAH9+f0k=")</f>
        <v>#REF!</v>
      </c>
      <c r="BW17" t="e">
        <f>AND(#REF!,"AAAAAH9+f0o=")</f>
        <v>#REF!</v>
      </c>
      <c r="BX17" t="e">
        <f>AND(#REF!,"AAAAAH9+f0s=")</f>
        <v>#REF!</v>
      </c>
      <c r="BY17" t="e">
        <f>AND(#REF!,"AAAAAH9+f0w=")</f>
        <v>#REF!</v>
      </c>
      <c r="BZ17" t="e">
        <f>AND(#REF!,"AAAAAH9+f00=")</f>
        <v>#REF!</v>
      </c>
      <c r="CA17" t="e">
        <f>AND(#REF!,"AAAAAH9+f04=")</f>
        <v>#REF!</v>
      </c>
      <c r="CB17" t="e">
        <f>AND(#REF!,"AAAAAH9+f08=")</f>
        <v>#REF!</v>
      </c>
      <c r="CC17" t="e">
        <f>AND(#REF!,"AAAAAH9+f1A=")</f>
        <v>#REF!</v>
      </c>
      <c r="CD17" t="e">
        <f>AND(#REF!,"AAAAAH9+f1E=")</f>
        <v>#REF!</v>
      </c>
      <c r="CE17" t="e">
        <f>AND(#REF!,"AAAAAH9+f1I=")</f>
        <v>#REF!</v>
      </c>
      <c r="CF17" t="e">
        <f>AND(#REF!,"AAAAAH9+f1M=")</f>
        <v>#REF!</v>
      </c>
      <c r="CG17" t="e">
        <f>AND(#REF!,"AAAAAH9+f1Q=")</f>
        <v>#REF!</v>
      </c>
      <c r="CH17" t="e">
        <f>AND(#REF!,"AAAAAH9+f1U=")</f>
        <v>#REF!</v>
      </c>
      <c r="CI17" t="e">
        <f>IF(#REF!,"AAAAAH9+f1Y=",0)</f>
        <v>#REF!</v>
      </c>
      <c r="CJ17" t="e">
        <f>AND(#REF!,"AAAAAH9+f1c=")</f>
        <v>#REF!</v>
      </c>
      <c r="CK17" t="e">
        <f>AND(#REF!,"AAAAAH9+f1g=")</f>
        <v>#REF!</v>
      </c>
      <c r="CL17" t="e">
        <f>AND(#REF!,"AAAAAH9+f1k=")</f>
        <v>#REF!</v>
      </c>
      <c r="CM17" t="e">
        <f>AND(#REF!,"AAAAAH9+f1o=")</f>
        <v>#REF!</v>
      </c>
      <c r="CN17" t="e">
        <f>AND(#REF!,"AAAAAH9+f1s=")</f>
        <v>#REF!</v>
      </c>
      <c r="CO17" t="e">
        <f>AND(#REF!,"AAAAAH9+f1w=")</f>
        <v>#REF!</v>
      </c>
      <c r="CP17" t="e">
        <f>AND(#REF!,"AAAAAH9+f10=")</f>
        <v>#REF!</v>
      </c>
      <c r="CQ17" t="e">
        <f>AND(#REF!,"AAAAAH9+f14=")</f>
        <v>#REF!</v>
      </c>
      <c r="CR17" t="e">
        <f>AND(#REF!,"AAAAAH9+f18=")</f>
        <v>#REF!</v>
      </c>
      <c r="CS17" t="e">
        <f>AND(#REF!,"AAAAAH9+f2A=")</f>
        <v>#REF!</v>
      </c>
      <c r="CT17" t="e">
        <f>AND(#REF!,"AAAAAH9+f2E=")</f>
        <v>#REF!</v>
      </c>
      <c r="CU17" t="e">
        <f>AND(#REF!,"AAAAAH9+f2I=")</f>
        <v>#REF!</v>
      </c>
      <c r="CV17" t="e">
        <f>AND(#REF!,"AAAAAH9+f2M=")</f>
        <v>#REF!</v>
      </c>
      <c r="CW17" t="e">
        <f>AND(#REF!,"AAAAAH9+f2Q=")</f>
        <v>#REF!</v>
      </c>
      <c r="CX17" t="e">
        <f>AND(#REF!,"AAAAAH9+f2U=")</f>
        <v>#REF!</v>
      </c>
      <c r="CY17" t="e">
        <f>AND(#REF!,"AAAAAH9+f2Y=")</f>
        <v>#REF!</v>
      </c>
      <c r="CZ17" t="e">
        <f>AND(#REF!,"AAAAAH9+f2c=")</f>
        <v>#REF!</v>
      </c>
      <c r="DA17" t="e">
        <f>IF(#REF!,"AAAAAH9+f2g=",0)</f>
        <v>#REF!</v>
      </c>
      <c r="DB17" t="e">
        <f>AND(#REF!,"AAAAAH9+f2k=")</f>
        <v>#REF!</v>
      </c>
      <c r="DC17" t="e">
        <f>AND(#REF!,"AAAAAH9+f2o=")</f>
        <v>#REF!</v>
      </c>
      <c r="DD17" t="e">
        <f>AND(#REF!,"AAAAAH9+f2s=")</f>
        <v>#REF!</v>
      </c>
      <c r="DE17" t="e">
        <f>AND(#REF!,"AAAAAH9+f2w=")</f>
        <v>#REF!</v>
      </c>
      <c r="DF17" t="e">
        <f>AND(#REF!,"AAAAAH9+f20=")</f>
        <v>#REF!</v>
      </c>
      <c r="DG17" t="e">
        <f>AND(#REF!,"AAAAAH9+f24=")</f>
        <v>#REF!</v>
      </c>
      <c r="DH17" t="e">
        <f>AND(#REF!,"AAAAAH9+f28=")</f>
        <v>#REF!</v>
      </c>
      <c r="DI17" t="e">
        <f>AND(#REF!,"AAAAAH9+f3A=")</f>
        <v>#REF!</v>
      </c>
      <c r="DJ17" t="e">
        <f>AND(#REF!,"AAAAAH9+f3E=")</f>
        <v>#REF!</v>
      </c>
      <c r="DK17" t="e">
        <f>AND(#REF!,"AAAAAH9+f3I=")</f>
        <v>#REF!</v>
      </c>
      <c r="DL17" t="e">
        <f>AND(#REF!,"AAAAAH9+f3M=")</f>
        <v>#REF!</v>
      </c>
      <c r="DM17" t="e">
        <f>AND(#REF!,"AAAAAH9+f3Q=")</f>
        <v>#REF!</v>
      </c>
      <c r="DN17" t="e">
        <f>AND(#REF!,"AAAAAH9+f3U=")</f>
        <v>#REF!</v>
      </c>
      <c r="DO17" t="e">
        <f>AND(#REF!,"AAAAAH9+f3Y=")</f>
        <v>#REF!</v>
      </c>
      <c r="DP17" t="e">
        <f>AND(#REF!,"AAAAAH9+f3c=")</f>
        <v>#REF!</v>
      </c>
      <c r="DQ17" t="e">
        <f>AND(#REF!,"AAAAAH9+f3g=")</f>
        <v>#REF!</v>
      </c>
      <c r="DR17" t="e">
        <f>AND(#REF!,"AAAAAH9+f3k=")</f>
        <v>#REF!</v>
      </c>
      <c r="DS17" t="e">
        <f>IF(#REF!,"AAAAAH9+f3o=",0)</f>
        <v>#REF!</v>
      </c>
      <c r="DT17" t="e">
        <f>AND(#REF!,"AAAAAH9+f3s=")</f>
        <v>#REF!</v>
      </c>
      <c r="DU17" t="e">
        <f>AND(#REF!,"AAAAAH9+f3w=")</f>
        <v>#REF!</v>
      </c>
      <c r="DV17" t="e">
        <f>AND(#REF!,"AAAAAH9+f30=")</f>
        <v>#REF!</v>
      </c>
      <c r="DW17" t="e">
        <f>AND(#REF!,"AAAAAH9+f34=")</f>
        <v>#REF!</v>
      </c>
      <c r="DX17" t="e">
        <f>AND(#REF!,"AAAAAH9+f38=")</f>
        <v>#REF!</v>
      </c>
      <c r="DY17" t="e">
        <f>AND(#REF!,"AAAAAH9+f4A=")</f>
        <v>#REF!</v>
      </c>
      <c r="DZ17" t="e">
        <f>AND(#REF!,"AAAAAH9+f4E=")</f>
        <v>#REF!</v>
      </c>
      <c r="EA17" t="e">
        <f>AND(#REF!,"AAAAAH9+f4I=")</f>
        <v>#REF!</v>
      </c>
      <c r="EB17" t="e">
        <f>AND(#REF!,"AAAAAH9+f4M=")</f>
        <v>#REF!</v>
      </c>
      <c r="EC17" t="e">
        <f>AND(#REF!,"AAAAAH9+f4Q=")</f>
        <v>#REF!</v>
      </c>
      <c r="ED17" t="e">
        <f>AND(#REF!,"AAAAAH9+f4U=")</f>
        <v>#REF!</v>
      </c>
      <c r="EE17" t="e">
        <f>AND(#REF!,"AAAAAH9+f4Y=")</f>
        <v>#REF!</v>
      </c>
      <c r="EF17" t="e">
        <f>AND(#REF!,"AAAAAH9+f4c=")</f>
        <v>#REF!</v>
      </c>
      <c r="EG17" t="e">
        <f>AND(#REF!,"AAAAAH9+f4g=")</f>
        <v>#REF!</v>
      </c>
      <c r="EH17" t="e">
        <f>AND(#REF!,"AAAAAH9+f4k=")</f>
        <v>#REF!</v>
      </c>
      <c r="EI17" t="e">
        <f>AND(#REF!,"AAAAAH9+f4o=")</f>
        <v>#REF!</v>
      </c>
      <c r="EJ17" t="e">
        <f>AND(#REF!,"AAAAAH9+f4s=")</f>
        <v>#REF!</v>
      </c>
      <c r="EK17" t="e">
        <f>IF(#REF!,"AAAAAH9+f4w=",0)</f>
        <v>#REF!</v>
      </c>
      <c r="EL17" t="e">
        <f>AND(#REF!,"AAAAAH9+f40=")</f>
        <v>#REF!</v>
      </c>
      <c r="EM17" t="e">
        <f>AND(#REF!,"AAAAAH9+f44=")</f>
        <v>#REF!</v>
      </c>
      <c r="EN17" t="e">
        <f>AND(#REF!,"AAAAAH9+f48=")</f>
        <v>#REF!</v>
      </c>
      <c r="EO17" t="e">
        <f>AND(#REF!,"AAAAAH9+f5A=")</f>
        <v>#REF!</v>
      </c>
      <c r="EP17" t="e">
        <f>AND(#REF!,"AAAAAH9+f5E=")</f>
        <v>#REF!</v>
      </c>
      <c r="EQ17" t="e">
        <f>AND(#REF!,"AAAAAH9+f5I=")</f>
        <v>#REF!</v>
      </c>
      <c r="ER17" t="e">
        <f>AND(#REF!,"AAAAAH9+f5M=")</f>
        <v>#REF!</v>
      </c>
      <c r="ES17" t="e">
        <f>AND(#REF!,"AAAAAH9+f5Q=")</f>
        <v>#REF!</v>
      </c>
      <c r="ET17" t="e">
        <f>AND(#REF!,"AAAAAH9+f5U=")</f>
        <v>#REF!</v>
      </c>
      <c r="EU17" t="e">
        <f>AND(#REF!,"AAAAAH9+f5Y=")</f>
        <v>#REF!</v>
      </c>
      <c r="EV17" t="e">
        <f>AND(#REF!,"AAAAAH9+f5c=")</f>
        <v>#REF!</v>
      </c>
      <c r="EW17" t="e">
        <f>AND(#REF!,"AAAAAH9+f5g=")</f>
        <v>#REF!</v>
      </c>
      <c r="EX17" t="e">
        <f>AND(#REF!,"AAAAAH9+f5k=")</f>
        <v>#REF!</v>
      </c>
      <c r="EY17" t="e">
        <f>AND(#REF!,"AAAAAH9+f5o=")</f>
        <v>#REF!</v>
      </c>
      <c r="EZ17" t="e">
        <f>AND(#REF!,"AAAAAH9+f5s=")</f>
        <v>#REF!</v>
      </c>
      <c r="FA17" t="e">
        <f>AND(#REF!,"AAAAAH9+f5w=")</f>
        <v>#REF!</v>
      </c>
      <c r="FB17" t="e">
        <f>AND(#REF!,"AAAAAH9+f50=")</f>
        <v>#REF!</v>
      </c>
      <c r="FC17" t="e">
        <f>IF(#REF!,"AAAAAH9+f54=",0)</f>
        <v>#REF!</v>
      </c>
      <c r="FD17" t="e">
        <f>AND(#REF!,"AAAAAH9+f58=")</f>
        <v>#REF!</v>
      </c>
      <c r="FE17" t="e">
        <f>AND(#REF!,"AAAAAH9+f6A=")</f>
        <v>#REF!</v>
      </c>
      <c r="FF17" t="e">
        <f>AND(#REF!,"AAAAAH9+f6E=")</f>
        <v>#REF!</v>
      </c>
      <c r="FG17" t="e">
        <f>AND(#REF!,"AAAAAH9+f6I=")</f>
        <v>#REF!</v>
      </c>
      <c r="FH17" t="e">
        <f>AND(#REF!,"AAAAAH9+f6M=")</f>
        <v>#REF!</v>
      </c>
      <c r="FI17" t="e">
        <f>AND(#REF!,"AAAAAH9+f6Q=")</f>
        <v>#REF!</v>
      </c>
      <c r="FJ17" t="e">
        <f>AND(#REF!,"AAAAAH9+f6U=")</f>
        <v>#REF!</v>
      </c>
      <c r="FK17" t="e">
        <f>AND(#REF!,"AAAAAH9+f6Y=")</f>
        <v>#REF!</v>
      </c>
      <c r="FL17" t="e">
        <f>AND(#REF!,"AAAAAH9+f6c=")</f>
        <v>#REF!</v>
      </c>
      <c r="FM17" t="e">
        <f>AND(#REF!,"AAAAAH9+f6g=")</f>
        <v>#REF!</v>
      </c>
      <c r="FN17" t="e">
        <f>AND(#REF!,"AAAAAH9+f6k=")</f>
        <v>#REF!</v>
      </c>
      <c r="FO17" t="e">
        <f>AND(#REF!,"AAAAAH9+f6o=")</f>
        <v>#REF!</v>
      </c>
      <c r="FP17" t="e">
        <f>AND(#REF!,"AAAAAH9+f6s=")</f>
        <v>#REF!</v>
      </c>
      <c r="FQ17" t="e">
        <f>AND(#REF!,"AAAAAH9+f6w=")</f>
        <v>#REF!</v>
      </c>
      <c r="FR17" t="e">
        <f>AND(#REF!,"AAAAAH9+f60=")</f>
        <v>#REF!</v>
      </c>
      <c r="FS17" t="e">
        <f>AND(#REF!,"AAAAAH9+f64=")</f>
        <v>#REF!</v>
      </c>
      <c r="FT17" t="e">
        <f>AND(#REF!,"AAAAAH9+f68=")</f>
        <v>#REF!</v>
      </c>
      <c r="FU17" t="e">
        <f>IF(#REF!,"AAAAAH9+f7A=",0)</f>
        <v>#REF!</v>
      </c>
      <c r="FV17" t="e">
        <f>AND(#REF!,"AAAAAH9+f7E=")</f>
        <v>#REF!</v>
      </c>
      <c r="FW17" t="e">
        <f>AND(#REF!,"AAAAAH9+f7I=")</f>
        <v>#REF!</v>
      </c>
      <c r="FX17" t="e">
        <f>AND(#REF!,"AAAAAH9+f7M=")</f>
        <v>#REF!</v>
      </c>
      <c r="FY17" t="e">
        <f>AND(#REF!,"AAAAAH9+f7Q=")</f>
        <v>#REF!</v>
      </c>
      <c r="FZ17" t="e">
        <f>AND(#REF!,"AAAAAH9+f7U=")</f>
        <v>#REF!</v>
      </c>
      <c r="GA17" t="e">
        <f>AND(#REF!,"AAAAAH9+f7Y=")</f>
        <v>#REF!</v>
      </c>
      <c r="GB17" t="e">
        <f>AND(#REF!,"AAAAAH9+f7c=")</f>
        <v>#REF!</v>
      </c>
      <c r="GC17" t="e">
        <f>AND(#REF!,"AAAAAH9+f7g=")</f>
        <v>#REF!</v>
      </c>
      <c r="GD17" t="e">
        <f>AND(#REF!,"AAAAAH9+f7k=")</f>
        <v>#REF!</v>
      </c>
      <c r="GE17" t="e">
        <f>AND(#REF!,"AAAAAH9+f7o=")</f>
        <v>#REF!</v>
      </c>
      <c r="GF17" t="e">
        <f>AND(#REF!,"AAAAAH9+f7s=")</f>
        <v>#REF!</v>
      </c>
      <c r="GG17" t="e">
        <f>AND(#REF!,"AAAAAH9+f7w=")</f>
        <v>#REF!</v>
      </c>
      <c r="GH17" t="e">
        <f>AND(#REF!,"AAAAAH9+f70=")</f>
        <v>#REF!</v>
      </c>
      <c r="GI17" t="e">
        <f>AND(#REF!,"AAAAAH9+f74=")</f>
        <v>#REF!</v>
      </c>
      <c r="GJ17" t="e">
        <f>AND(#REF!,"AAAAAH9+f78=")</f>
        <v>#REF!</v>
      </c>
      <c r="GK17" t="e">
        <f>AND(#REF!,"AAAAAH9+f8A=")</f>
        <v>#REF!</v>
      </c>
      <c r="GL17" t="e">
        <f>AND(#REF!,"AAAAAH9+f8E=")</f>
        <v>#REF!</v>
      </c>
      <c r="GM17" t="e">
        <f>IF(#REF!,"AAAAAH9+f8I=",0)</f>
        <v>#REF!</v>
      </c>
      <c r="GN17" t="e">
        <f>AND(#REF!,"AAAAAH9+f8M=")</f>
        <v>#REF!</v>
      </c>
      <c r="GO17" t="e">
        <f>AND(#REF!,"AAAAAH9+f8Q=")</f>
        <v>#REF!</v>
      </c>
      <c r="GP17" t="e">
        <f>AND(#REF!,"AAAAAH9+f8U=")</f>
        <v>#REF!</v>
      </c>
      <c r="GQ17" t="e">
        <f>AND(#REF!,"AAAAAH9+f8Y=")</f>
        <v>#REF!</v>
      </c>
      <c r="GR17" t="e">
        <f>AND(#REF!,"AAAAAH9+f8c=")</f>
        <v>#REF!</v>
      </c>
      <c r="GS17" t="e">
        <f>AND(#REF!,"AAAAAH9+f8g=")</f>
        <v>#REF!</v>
      </c>
      <c r="GT17" t="e">
        <f>AND(#REF!,"AAAAAH9+f8k=")</f>
        <v>#REF!</v>
      </c>
      <c r="GU17" t="e">
        <f>AND(#REF!,"AAAAAH9+f8o=")</f>
        <v>#REF!</v>
      </c>
      <c r="GV17" t="e">
        <f>AND(#REF!,"AAAAAH9+f8s=")</f>
        <v>#REF!</v>
      </c>
      <c r="GW17" t="e">
        <f>AND(#REF!,"AAAAAH9+f8w=")</f>
        <v>#REF!</v>
      </c>
      <c r="GX17" t="e">
        <f>AND(#REF!,"AAAAAH9+f80=")</f>
        <v>#REF!</v>
      </c>
      <c r="GY17" t="e">
        <f>AND(#REF!,"AAAAAH9+f84=")</f>
        <v>#REF!</v>
      </c>
      <c r="GZ17" t="e">
        <f>AND(#REF!,"AAAAAH9+f88=")</f>
        <v>#REF!</v>
      </c>
      <c r="HA17" t="e">
        <f>AND(#REF!,"AAAAAH9+f9A=")</f>
        <v>#REF!</v>
      </c>
      <c r="HB17" t="e">
        <f>AND(#REF!,"AAAAAH9+f9E=")</f>
        <v>#REF!</v>
      </c>
      <c r="HC17" t="e">
        <f>AND(#REF!,"AAAAAH9+f9I=")</f>
        <v>#REF!</v>
      </c>
      <c r="HD17" t="e">
        <f>AND(#REF!,"AAAAAH9+f9M=")</f>
        <v>#REF!</v>
      </c>
      <c r="HE17" t="e">
        <f>IF(#REF!,"AAAAAH9+f9Q=",0)</f>
        <v>#REF!</v>
      </c>
      <c r="HF17" t="e">
        <f>AND(#REF!,"AAAAAH9+f9U=")</f>
        <v>#REF!</v>
      </c>
      <c r="HG17" t="e">
        <f>AND(#REF!,"AAAAAH9+f9Y=")</f>
        <v>#REF!</v>
      </c>
      <c r="HH17" t="e">
        <f>AND(#REF!,"AAAAAH9+f9c=")</f>
        <v>#REF!</v>
      </c>
      <c r="HI17" t="e">
        <f>AND(#REF!,"AAAAAH9+f9g=")</f>
        <v>#REF!</v>
      </c>
      <c r="HJ17" t="e">
        <f>AND(#REF!,"AAAAAH9+f9k=")</f>
        <v>#REF!</v>
      </c>
      <c r="HK17" t="e">
        <f>AND(#REF!,"AAAAAH9+f9o=")</f>
        <v>#REF!</v>
      </c>
      <c r="HL17" t="e">
        <f>AND(#REF!,"AAAAAH9+f9s=")</f>
        <v>#REF!</v>
      </c>
      <c r="HM17" t="e">
        <f>AND(#REF!,"AAAAAH9+f9w=")</f>
        <v>#REF!</v>
      </c>
      <c r="HN17" t="e">
        <f>AND(#REF!,"AAAAAH9+f90=")</f>
        <v>#REF!</v>
      </c>
      <c r="HO17" t="e">
        <f>AND(#REF!,"AAAAAH9+f94=")</f>
        <v>#REF!</v>
      </c>
      <c r="HP17" t="e">
        <f>AND(#REF!,"AAAAAH9+f98=")</f>
        <v>#REF!</v>
      </c>
      <c r="HQ17" t="e">
        <f>AND(#REF!,"AAAAAH9+f+A=")</f>
        <v>#REF!</v>
      </c>
      <c r="HR17" t="e">
        <f>AND(#REF!,"AAAAAH9+f+E=")</f>
        <v>#REF!</v>
      </c>
      <c r="HS17" t="e">
        <f>AND(#REF!,"AAAAAH9+f+I=")</f>
        <v>#REF!</v>
      </c>
      <c r="HT17" t="e">
        <f>AND(#REF!,"AAAAAH9+f+M=")</f>
        <v>#REF!</v>
      </c>
      <c r="HU17" t="e">
        <f>AND(#REF!,"AAAAAH9+f+Q=")</f>
        <v>#REF!</v>
      </c>
      <c r="HV17" t="e">
        <f>AND(#REF!,"AAAAAH9+f+U=")</f>
        <v>#REF!</v>
      </c>
      <c r="HW17" t="e">
        <f>IF(#REF!,"AAAAAH9+f+Y=",0)</f>
        <v>#REF!</v>
      </c>
      <c r="HX17" t="e">
        <f>AND(#REF!,"AAAAAH9+f+c=")</f>
        <v>#REF!</v>
      </c>
      <c r="HY17" t="e">
        <f>AND(#REF!,"AAAAAH9+f+g=")</f>
        <v>#REF!</v>
      </c>
      <c r="HZ17" t="e">
        <f>AND(#REF!,"AAAAAH9+f+k=")</f>
        <v>#REF!</v>
      </c>
      <c r="IA17" t="e">
        <f>AND(#REF!,"AAAAAH9+f+o=")</f>
        <v>#REF!</v>
      </c>
      <c r="IB17" t="e">
        <f>AND(#REF!,"AAAAAH9+f+s=")</f>
        <v>#REF!</v>
      </c>
      <c r="IC17" t="e">
        <f>AND(#REF!,"AAAAAH9+f+w=")</f>
        <v>#REF!</v>
      </c>
      <c r="ID17" t="e">
        <f>AND(#REF!,"AAAAAH9+f+0=")</f>
        <v>#REF!</v>
      </c>
      <c r="IE17" t="e">
        <f>AND(#REF!,"AAAAAH9+f+4=")</f>
        <v>#REF!</v>
      </c>
      <c r="IF17" t="e">
        <f>AND(#REF!,"AAAAAH9+f+8=")</f>
        <v>#REF!</v>
      </c>
      <c r="IG17" t="e">
        <f>AND(#REF!,"AAAAAH9+f/A=")</f>
        <v>#REF!</v>
      </c>
      <c r="IH17" t="e">
        <f>AND(#REF!,"AAAAAH9+f/E=")</f>
        <v>#REF!</v>
      </c>
      <c r="II17" t="e">
        <f>AND(#REF!,"AAAAAH9+f/I=")</f>
        <v>#REF!</v>
      </c>
      <c r="IJ17" t="e">
        <f>AND(#REF!,"AAAAAH9+f/M=")</f>
        <v>#REF!</v>
      </c>
      <c r="IK17" t="e">
        <f>AND(#REF!,"AAAAAH9+f/Q=")</f>
        <v>#REF!</v>
      </c>
      <c r="IL17" t="e">
        <f>AND(#REF!,"AAAAAH9+f/U=")</f>
        <v>#REF!</v>
      </c>
      <c r="IM17" t="e">
        <f>AND(#REF!,"AAAAAH9+f/Y=")</f>
        <v>#REF!</v>
      </c>
      <c r="IN17" t="e">
        <f>AND(#REF!,"AAAAAH9+f/c=")</f>
        <v>#REF!</v>
      </c>
      <c r="IO17" t="e">
        <f>IF(#REF!,"AAAAAH9+f/g=",0)</f>
        <v>#REF!</v>
      </c>
      <c r="IP17" t="e">
        <f>AND(#REF!,"AAAAAH9+f/k=")</f>
        <v>#REF!</v>
      </c>
      <c r="IQ17" t="e">
        <f>AND(#REF!,"AAAAAH9+f/o=")</f>
        <v>#REF!</v>
      </c>
      <c r="IR17" t="e">
        <f>AND(#REF!,"AAAAAH9+f/s=")</f>
        <v>#REF!</v>
      </c>
      <c r="IS17" t="e">
        <f>AND(#REF!,"AAAAAH9+f/w=")</f>
        <v>#REF!</v>
      </c>
      <c r="IT17" t="e">
        <f>AND(#REF!,"AAAAAH9+f/0=")</f>
        <v>#REF!</v>
      </c>
      <c r="IU17" t="e">
        <f>AND(#REF!,"AAAAAH9+f/4=")</f>
        <v>#REF!</v>
      </c>
      <c r="IV17" t="e">
        <f>AND(#REF!,"AAAAAH9+f/8=")</f>
        <v>#REF!</v>
      </c>
    </row>
    <row r="18" spans="1:256">
      <c r="A18" t="e">
        <f>AND(#REF!,"AAAAAEfZ9gA=")</f>
        <v>#REF!</v>
      </c>
      <c r="B18" t="e">
        <f>AND(#REF!,"AAAAAEfZ9gE=")</f>
        <v>#REF!</v>
      </c>
      <c r="C18" t="e">
        <f>AND(#REF!,"AAAAAEfZ9gI=")</f>
        <v>#REF!</v>
      </c>
      <c r="D18" t="e">
        <f>AND(#REF!,"AAAAAEfZ9gM=")</f>
        <v>#REF!</v>
      </c>
      <c r="E18" t="e">
        <f>AND(#REF!,"AAAAAEfZ9gQ=")</f>
        <v>#REF!</v>
      </c>
      <c r="F18" t="e">
        <f>AND(#REF!,"AAAAAEfZ9gU=")</f>
        <v>#REF!</v>
      </c>
      <c r="G18" t="e">
        <f>AND(#REF!,"AAAAAEfZ9gY=")</f>
        <v>#REF!</v>
      </c>
      <c r="H18" t="e">
        <f>AND(#REF!,"AAAAAEfZ9gc=")</f>
        <v>#REF!</v>
      </c>
      <c r="I18" t="e">
        <f>AND(#REF!,"AAAAAEfZ9gg=")</f>
        <v>#REF!</v>
      </c>
      <c r="J18" t="e">
        <f>AND(#REF!,"AAAAAEfZ9gk=")</f>
        <v>#REF!</v>
      </c>
      <c r="K18" t="e">
        <f>IF(#REF!,"AAAAAEfZ9go=",0)</f>
        <v>#REF!</v>
      </c>
      <c r="L18" t="e">
        <f>AND(#REF!,"AAAAAEfZ9gs=")</f>
        <v>#REF!</v>
      </c>
      <c r="M18" t="e">
        <f>AND(#REF!,"AAAAAEfZ9gw=")</f>
        <v>#REF!</v>
      </c>
      <c r="N18" t="e">
        <f>AND(#REF!,"AAAAAEfZ9g0=")</f>
        <v>#REF!</v>
      </c>
      <c r="O18" t="e">
        <f>AND(#REF!,"AAAAAEfZ9g4=")</f>
        <v>#REF!</v>
      </c>
      <c r="P18" t="e">
        <f>AND(#REF!,"AAAAAEfZ9g8=")</f>
        <v>#REF!</v>
      </c>
      <c r="Q18" t="e">
        <f>AND(#REF!,"AAAAAEfZ9hA=")</f>
        <v>#REF!</v>
      </c>
      <c r="R18" t="e">
        <f>AND(#REF!,"AAAAAEfZ9hE=")</f>
        <v>#REF!</v>
      </c>
      <c r="S18" t="e">
        <f>AND(#REF!,"AAAAAEfZ9hI=")</f>
        <v>#REF!</v>
      </c>
      <c r="T18" t="e">
        <f>AND(#REF!,"AAAAAEfZ9hM=")</f>
        <v>#REF!</v>
      </c>
      <c r="U18" t="e">
        <f>AND(#REF!,"AAAAAEfZ9hQ=")</f>
        <v>#REF!</v>
      </c>
      <c r="V18" t="e">
        <f>AND(#REF!,"AAAAAEfZ9hU=")</f>
        <v>#REF!</v>
      </c>
      <c r="W18" t="e">
        <f>AND(#REF!,"AAAAAEfZ9hY=")</f>
        <v>#REF!</v>
      </c>
      <c r="X18" t="e">
        <f>AND(#REF!,"AAAAAEfZ9hc=")</f>
        <v>#REF!</v>
      </c>
      <c r="Y18" t="e">
        <f>AND(#REF!,"AAAAAEfZ9hg=")</f>
        <v>#REF!</v>
      </c>
      <c r="Z18" t="e">
        <f>AND(#REF!,"AAAAAEfZ9hk=")</f>
        <v>#REF!</v>
      </c>
      <c r="AA18" t="e">
        <f>AND(#REF!,"AAAAAEfZ9ho=")</f>
        <v>#REF!</v>
      </c>
      <c r="AB18" t="e">
        <f>AND(#REF!,"AAAAAEfZ9hs=")</f>
        <v>#REF!</v>
      </c>
      <c r="AC18" t="e">
        <f>IF(#REF!,"AAAAAEfZ9hw=",0)</f>
        <v>#REF!</v>
      </c>
      <c r="AD18" t="e">
        <f>AND(#REF!,"AAAAAEfZ9h0=")</f>
        <v>#REF!</v>
      </c>
      <c r="AE18" t="e">
        <f>AND(#REF!,"AAAAAEfZ9h4=")</f>
        <v>#REF!</v>
      </c>
      <c r="AF18" t="e">
        <f>AND(#REF!,"AAAAAEfZ9h8=")</f>
        <v>#REF!</v>
      </c>
      <c r="AG18" t="e">
        <f>AND(#REF!,"AAAAAEfZ9iA=")</f>
        <v>#REF!</v>
      </c>
      <c r="AH18" t="e">
        <f>AND(#REF!,"AAAAAEfZ9iE=")</f>
        <v>#REF!</v>
      </c>
      <c r="AI18" t="e">
        <f>AND(#REF!,"AAAAAEfZ9iI=")</f>
        <v>#REF!</v>
      </c>
      <c r="AJ18" t="e">
        <f>AND(#REF!,"AAAAAEfZ9iM=")</f>
        <v>#REF!</v>
      </c>
      <c r="AK18" t="e">
        <f>AND(#REF!,"AAAAAEfZ9iQ=")</f>
        <v>#REF!</v>
      </c>
      <c r="AL18" t="e">
        <f>AND(#REF!,"AAAAAEfZ9iU=")</f>
        <v>#REF!</v>
      </c>
      <c r="AM18" t="e">
        <f>AND(#REF!,"AAAAAEfZ9iY=")</f>
        <v>#REF!</v>
      </c>
      <c r="AN18" t="e">
        <f>AND(#REF!,"AAAAAEfZ9ic=")</f>
        <v>#REF!</v>
      </c>
      <c r="AO18" t="e">
        <f>AND(#REF!,"AAAAAEfZ9ig=")</f>
        <v>#REF!</v>
      </c>
      <c r="AP18" t="e">
        <f>AND(#REF!,"AAAAAEfZ9ik=")</f>
        <v>#REF!</v>
      </c>
      <c r="AQ18" t="e">
        <f>AND(#REF!,"AAAAAEfZ9io=")</f>
        <v>#REF!</v>
      </c>
      <c r="AR18" t="e">
        <f>AND(#REF!,"AAAAAEfZ9is=")</f>
        <v>#REF!</v>
      </c>
      <c r="AS18" t="e">
        <f>AND(#REF!,"AAAAAEfZ9iw=")</f>
        <v>#REF!</v>
      </c>
      <c r="AT18" t="e">
        <f>AND(#REF!,"AAAAAEfZ9i0=")</f>
        <v>#REF!</v>
      </c>
      <c r="AU18" t="e">
        <f>IF(#REF!,"AAAAAEfZ9i4=",0)</f>
        <v>#REF!</v>
      </c>
      <c r="AV18" t="e">
        <f>AND(#REF!,"AAAAAEfZ9i8=")</f>
        <v>#REF!</v>
      </c>
      <c r="AW18" t="e">
        <f>AND(#REF!,"AAAAAEfZ9jA=")</f>
        <v>#REF!</v>
      </c>
      <c r="AX18" t="e">
        <f>AND(#REF!,"AAAAAEfZ9jE=")</f>
        <v>#REF!</v>
      </c>
      <c r="AY18" t="e">
        <f>AND(#REF!,"AAAAAEfZ9jI=")</f>
        <v>#REF!</v>
      </c>
      <c r="AZ18" t="e">
        <f>AND(#REF!,"AAAAAEfZ9jM=")</f>
        <v>#REF!</v>
      </c>
      <c r="BA18" t="e">
        <f>AND(#REF!,"AAAAAEfZ9jQ=")</f>
        <v>#REF!</v>
      </c>
      <c r="BB18" t="e">
        <f>AND(#REF!,"AAAAAEfZ9jU=")</f>
        <v>#REF!</v>
      </c>
      <c r="BC18" t="e">
        <f>AND(#REF!,"AAAAAEfZ9jY=")</f>
        <v>#REF!</v>
      </c>
      <c r="BD18" t="e">
        <f>AND(#REF!,"AAAAAEfZ9jc=")</f>
        <v>#REF!</v>
      </c>
      <c r="BE18" t="e">
        <f>AND(#REF!,"AAAAAEfZ9jg=")</f>
        <v>#REF!</v>
      </c>
      <c r="BF18" t="e">
        <f>AND(#REF!,"AAAAAEfZ9jk=")</f>
        <v>#REF!</v>
      </c>
      <c r="BG18" t="e">
        <f>AND(#REF!,"AAAAAEfZ9jo=")</f>
        <v>#REF!</v>
      </c>
      <c r="BH18" t="e">
        <f>AND(#REF!,"AAAAAEfZ9js=")</f>
        <v>#REF!</v>
      </c>
      <c r="BI18" t="e">
        <f>AND(#REF!,"AAAAAEfZ9jw=")</f>
        <v>#REF!</v>
      </c>
      <c r="BJ18" t="e">
        <f>AND(#REF!,"AAAAAEfZ9j0=")</f>
        <v>#REF!</v>
      </c>
      <c r="BK18" t="e">
        <f>AND(#REF!,"AAAAAEfZ9j4=")</f>
        <v>#REF!</v>
      </c>
      <c r="BL18" t="e">
        <f>AND(#REF!,"AAAAAEfZ9j8=")</f>
        <v>#REF!</v>
      </c>
      <c r="BM18" t="e">
        <f>IF(#REF!,"AAAAAEfZ9kA=",0)</f>
        <v>#REF!</v>
      </c>
      <c r="BN18" t="e">
        <f>IF(#REF!,"AAAAAEfZ9kE=",0)</f>
        <v>#REF!</v>
      </c>
      <c r="BO18" t="e">
        <f>IF(#REF!,"AAAAAEfZ9kI=",0)</f>
        <v>#REF!</v>
      </c>
      <c r="BP18" t="e">
        <f>IF(#REF!,"AAAAAEfZ9kM=",0)</f>
        <v>#REF!</v>
      </c>
      <c r="BQ18" t="e">
        <f>IF(#REF!,"AAAAAEfZ9kQ=",0)</f>
        <v>#REF!</v>
      </c>
      <c r="BR18" t="e">
        <f>IF(#REF!,"AAAAAEfZ9kU=",0)</f>
        <v>#REF!</v>
      </c>
      <c r="BS18" t="e">
        <f>IF(#REF!,"AAAAAEfZ9kY=",0)</f>
        <v>#REF!</v>
      </c>
      <c r="BT18" t="e">
        <f>IF(#REF!,"AAAAAEfZ9kc=",0)</f>
        <v>#REF!</v>
      </c>
      <c r="BU18" t="e">
        <f>IF(#REF!,"AAAAAEfZ9kg=",0)</f>
        <v>#REF!</v>
      </c>
      <c r="BV18" t="e">
        <f>IF(#REF!,"AAAAAEfZ9kk=",0)</f>
        <v>#REF!</v>
      </c>
      <c r="BW18" t="e">
        <f>IF(#REF!,"AAAAAEfZ9ko=",0)</f>
        <v>#REF!</v>
      </c>
      <c r="BX18" t="e">
        <f>IF(#REF!,"AAAAAEfZ9ks=",0)</f>
        <v>#REF!</v>
      </c>
      <c r="BY18" t="e">
        <f>IF(#REF!,"AAAAAEfZ9kw=",0)</f>
        <v>#REF!</v>
      </c>
      <c r="BZ18" t="e">
        <f>IF(#REF!,"AAAAAEfZ9k0=",0)</f>
        <v>#REF!</v>
      </c>
      <c r="CA18" t="e">
        <f>IF(#REF!,"AAAAAEfZ9k4=",0)</f>
        <v>#REF!</v>
      </c>
      <c r="CB18" t="e">
        <f>IF(#REF!,"AAAAAEfZ9k8=",0)</f>
        <v>#REF!</v>
      </c>
      <c r="CC18" t="e">
        <f>IF(#REF!,"AAAAAEfZ9lA=",0)</f>
        <v>#REF!</v>
      </c>
      <c r="CD18" t="e">
        <f>IF(#REF!,"AAAAAEfZ9lE=",0)</f>
        <v>#REF!</v>
      </c>
      <c r="CE18" t="e">
        <f>IF(#REF!,"AAAAAEfZ9lI=",0)</f>
        <v>#REF!</v>
      </c>
      <c r="CF18" t="e">
        <f>IF(#REF!,"AAAAAEfZ9lM=",0)</f>
        <v>#REF!</v>
      </c>
      <c r="CG18" t="e">
        <f>IF(#REF!,"AAAAAEfZ9lQ=",0)</f>
        <v>#REF!</v>
      </c>
      <c r="CH18" t="e">
        <f>IF(#REF!,"AAAAAEfZ9lU=",0)</f>
        <v>#REF!</v>
      </c>
      <c r="CI18" t="e">
        <f>IF(#REF!,"AAAAAEfZ9lY=",0)</f>
        <v>#REF!</v>
      </c>
      <c r="CJ18" t="e">
        <f>IF(#REF!,"AAAAAEfZ9lc=",0)</f>
        <v>#REF!</v>
      </c>
      <c r="CK18" t="e">
        <f>AND(#REF!,"AAAAAEfZ9lg=")</f>
        <v>#REF!</v>
      </c>
      <c r="CL18" t="e">
        <f>AND(#REF!,"AAAAAEfZ9lk=")</f>
        <v>#REF!</v>
      </c>
      <c r="CM18" t="e">
        <f>AND(#REF!,"AAAAAEfZ9lo=")</f>
        <v>#REF!</v>
      </c>
      <c r="CN18" t="e">
        <f>AND(#REF!,"AAAAAEfZ9ls=")</f>
        <v>#REF!</v>
      </c>
      <c r="CO18" t="e">
        <f>AND(#REF!,"AAAAAEfZ9lw=")</f>
        <v>#REF!</v>
      </c>
      <c r="CP18" t="e">
        <f>AND(#REF!,"AAAAAEfZ9l0=")</f>
        <v>#REF!</v>
      </c>
      <c r="CQ18" t="e">
        <f>AND(#REF!,"AAAAAEfZ9l4=")</f>
        <v>#REF!</v>
      </c>
      <c r="CR18" t="e">
        <f>AND(#REF!,"AAAAAEfZ9l8=")</f>
        <v>#REF!</v>
      </c>
      <c r="CS18" t="e">
        <f>AND(#REF!,"AAAAAEfZ9mA=")</f>
        <v>#REF!</v>
      </c>
      <c r="CT18" t="e">
        <f>AND(#REF!,"AAAAAEfZ9mE=")</f>
        <v>#REF!</v>
      </c>
      <c r="CU18" t="e">
        <f>AND(#REF!,"AAAAAEfZ9mI=")</f>
        <v>#REF!</v>
      </c>
      <c r="CV18" t="e">
        <f>AND(#REF!,"AAAAAEfZ9mM=")</f>
        <v>#REF!</v>
      </c>
      <c r="CW18" t="e">
        <f>AND(#REF!,"AAAAAEfZ9mQ=")</f>
        <v>#REF!</v>
      </c>
      <c r="CX18" t="e">
        <f>AND(#REF!,"AAAAAEfZ9mU=")</f>
        <v>#REF!</v>
      </c>
      <c r="CY18" t="e">
        <f>AND(#REF!,"AAAAAEfZ9mY=")</f>
        <v>#REF!</v>
      </c>
      <c r="CZ18" t="e">
        <f>AND(#REF!,"AAAAAEfZ9mc=")</f>
        <v>#REF!</v>
      </c>
      <c r="DA18" t="e">
        <f>AND(#REF!,"AAAAAEfZ9mg=")</f>
        <v>#REF!</v>
      </c>
      <c r="DB18" t="e">
        <f>AND(#REF!,"AAAAAEfZ9mk=")</f>
        <v>#REF!</v>
      </c>
      <c r="DC18" t="e">
        <f>AND(#REF!,"AAAAAEfZ9mo=")</f>
        <v>#REF!</v>
      </c>
      <c r="DD18" t="e">
        <f>AND(#REF!,"AAAAAEfZ9ms=")</f>
        <v>#REF!</v>
      </c>
      <c r="DE18" t="e">
        <f>IF(#REF!,"AAAAAEfZ9mw=",0)</f>
        <v>#REF!</v>
      </c>
      <c r="DF18" t="e">
        <f>AND(#REF!,"AAAAAEfZ9m0=")</f>
        <v>#REF!</v>
      </c>
      <c r="DG18" t="e">
        <f>AND(#REF!,"AAAAAEfZ9m4=")</f>
        <v>#REF!</v>
      </c>
      <c r="DH18" t="e">
        <f>AND(#REF!,"AAAAAEfZ9m8=")</f>
        <v>#REF!</v>
      </c>
      <c r="DI18" t="e">
        <f>AND(#REF!,"AAAAAEfZ9nA=")</f>
        <v>#REF!</v>
      </c>
      <c r="DJ18" t="e">
        <f>AND(#REF!,"AAAAAEfZ9nE=")</f>
        <v>#REF!</v>
      </c>
      <c r="DK18" t="e">
        <f>AND(#REF!,"AAAAAEfZ9nI=")</f>
        <v>#REF!</v>
      </c>
      <c r="DL18" t="e">
        <f>AND(#REF!,"AAAAAEfZ9nM=")</f>
        <v>#REF!</v>
      </c>
      <c r="DM18" t="e">
        <f>AND(#REF!,"AAAAAEfZ9nQ=")</f>
        <v>#REF!</v>
      </c>
      <c r="DN18" t="e">
        <f>AND(#REF!,"AAAAAEfZ9nU=")</f>
        <v>#REF!</v>
      </c>
      <c r="DO18" t="e">
        <f>AND(#REF!,"AAAAAEfZ9nY=")</f>
        <v>#REF!</v>
      </c>
      <c r="DP18" t="e">
        <f>AND(#REF!,"AAAAAEfZ9nc=")</f>
        <v>#REF!</v>
      </c>
      <c r="DQ18" t="e">
        <f>AND(#REF!,"AAAAAEfZ9ng=")</f>
        <v>#REF!</v>
      </c>
      <c r="DR18" t="e">
        <f>AND(#REF!,"AAAAAEfZ9nk=")</f>
        <v>#REF!</v>
      </c>
      <c r="DS18" t="e">
        <f>AND(#REF!,"AAAAAEfZ9no=")</f>
        <v>#REF!</v>
      </c>
      <c r="DT18" t="e">
        <f>AND(#REF!,"AAAAAEfZ9ns=")</f>
        <v>#REF!</v>
      </c>
      <c r="DU18" t="e">
        <f>AND(#REF!,"AAAAAEfZ9nw=")</f>
        <v>#REF!</v>
      </c>
      <c r="DV18" t="e">
        <f>AND(#REF!,"AAAAAEfZ9n0=")</f>
        <v>#REF!</v>
      </c>
      <c r="DW18" t="e">
        <f>AND(#REF!,"AAAAAEfZ9n4=")</f>
        <v>#REF!</v>
      </c>
      <c r="DX18" t="e">
        <f>AND(#REF!,"AAAAAEfZ9n8=")</f>
        <v>#REF!</v>
      </c>
      <c r="DY18" t="e">
        <f>AND(#REF!,"AAAAAEfZ9oA=")</f>
        <v>#REF!</v>
      </c>
      <c r="DZ18" t="e">
        <f>IF(#REF!,"AAAAAEfZ9oE=",0)</f>
        <v>#REF!</v>
      </c>
      <c r="EA18" t="e">
        <f>AND(#REF!,"AAAAAEfZ9oI=")</f>
        <v>#REF!</v>
      </c>
      <c r="EB18" t="e">
        <f>AND(#REF!,"AAAAAEfZ9oM=")</f>
        <v>#REF!</v>
      </c>
      <c r="EC18" t="e">
        <f>AND(#REF!,"AAAAAEfZ9oQ=")</f>
        <v>#REF!</v>
      </c>
      <c r="ED18" t="e">
        <f>AND(#REF!,"AAAAAEfZ9oU=")</f>
        <v>#REF!</v>
      </c>
      <c r="EE18" t="e">
        <f>AND(#REF!,"AAAAAEfZ9oY=")</f>
        <v>#REF!</v>
      </c>
      <c r="EF18" t="e">
        <f>AND(#REF!,"AAAAAEfZ9oc=")</f>
        <v>#REF!</v>
      </c>
      <c r="EG18" t="e">
        <f>AND(#REF!,"AAAAAEfZ9og=")</f>
        <v>#REF!</v>
      </c>
      <c r="EH18" t="e">
        <f>AND(#REF!,"AAAAAEfZ9ok=")</f>
        <v>#REF!</v>
      </c>
      <c r="EI18" t="e">
        <f>AND(#REF!,"AAAAAEfZ9oo=")</f>
        <v>#REF!</v>
      </c>
      <c r="EJ18" t="e">
        <f>AND(#REF!,"AAAAAEfZ9os=")</f>
        <v>#REF!</v>
      </c>
      <c r="EK18" t="e">
        <f>AND(#REF!,"AAAAAEfZ9ow=")</f>
        <v>#REF!</v>
      </c>
      <c r="EL18" t="e">
        <f>AND(#REF!,"AAAAAEfZ9o0=")</f>
        <v>#REF!</v>
      </c>
      <c r="EM18" t="e">
        <f>AND(#REF!,"AAAAAEfZ9o4=")</f>
        <v>#REF!</v>
      </c>
      <c r="EN18" t="e">
        <f>AND(#REF!,"AAAAAEfZ9o8=")</f>
        <v>#REF!</v>
      </c>
      <c r="EO18" t="e">
        <f>AND(#REF!,"AAAAAEfZ9pA=")</f>
        <v>#REF!</v>
      </c>
      <c r="EP18" t="e">
        <f>AND(#REF!,"AAAAAEfZ9pE=")</f>
        <v>#REF!</v>
      </c>
      <c r="EQ18" t="e">
        <f>AND(#REF!,"AAAAAEfZ9pI=")</f>
        <v>#REF!</v>
      </c>
      <c r="ER18" t="e">
        <f>AND(#REF!,"AAAAAEfZ9pM=")</f>
        <v>#REF!</v>
      </c>
      <c r="ES18" t="e">
        <f>AND(#REF!,"AAAAAEfZ9pQ=")</f>
        <v>#REF!</v>
      </c>
      <c r="ET18" t="e">
        <f>AND(#REF!,"AAAAAEfZ9pU=")</f>
        <v>#REF!</v>
      </c>
      <c r="EU18" t="e">
        <f>IF(#REF!,"AAAAAEfZ9pY=",0)</f>
        <v>#REF!</v>
      </c>
      <c r="EV18" t="e">
        <f>AND(#REF!,"AAAAAEfZ9pc=")</f>
        <v>#REF!</v>
      </c>
      <c r="EW18" t="e">
        <f>AND(#REF!,"AAAAAEfZ9pg=")</f>
        <v>#REF!</v>
      </c>
      <c r="EX18" t="e">
        <f>AND(#REF!,"AAAAAEfZ9pk=")</f>
        <v>#REF!</v>
      </c>
      <c r="EY18" t="e">
        <f>AND(#REF!,"AAAAAEfZ9po=")</f>
        <v>#REF!</v>
      </c>
      <c r="EZ18" t="e">
        <f>AND(#REF!,"AAAAAEfZ9ps=")</f>
        <v>#REF!</v>
      </c>
      <c r="FA18" t="e">
        <f>AND(#REF!,"AAAAAEfZ9pw=")</f>
        <v>#REF!</v>
      </c>
      <c r="FB18" t="e">
        <f>AND(#REF!,"AAAAAEfZ9p0=")</f>
        <v>#REF!</v>
      </c>
      <c r="FC18" t="e">
        <f>AND(#REF!,"AAAAAEfZ9p4=")</f>
        <v>#REF!</v>
      </c>
      <c r="FD18" t="e">
        <f>AND(#REF!,"AAAAAEfZ9p8=")</f>
        <v>#REF!</v>
      </c>
      <c r="FE18" t="e">
        <f>AND(#REF!,"AAAAAEfZ9qA=")</f>
        <v>#REF!</v>
      </c>
      <c r="FF18" t="e">
        <f>AND(#REF!,"AAAAAEfZ9qE=")</f>
        <v>#REF!</v>
      </c>
      <c r="FG18" t="e">
        <f>AND(#REF!,"AAAAAEfZ9qI=")</f>
        <v>#REF!</v>
      </c>
      <c r="FH18" t="e">
        <f>AND(#REF!,"AAAAAEfZ9qM=")</f>
        <v>#REF!</v>
      </c>
      <c r="FI18" t="e">
        <f>AND(#REF!,"AAAAAEfZ9qQ=")</f>
        <v>#REF!</v>
      </c>
      <c r="FJ18" t="e">
        <f>AND(#REF!,"AAAAAEfZ9qU=")</f>
        <v>#REF!</v>
      </c>
      <c r="FK18" t="e">
        <f>AND(#REF!,"AAAAAEfZ9qY=")</f>
        <v>#REF!</v>
      </c>
      <c r="FL18" t="e">
        <f>AND(#REF!,"AAAAAEfZ9qc=")</f>
        <v>#REF!</v>
      </c>
      <c r="FM18" t="e">
        <f>AND(#REF!,"AAAAAEfZ9qg=")</f>
        <v>#REF!</v>
      </c>
      <c r="FN18" t="e">
        <f>AND(#REF!,"AAAAAEfZ9qk=")</f>
        <v>#REF!</v>
      </c>
      <c r="FO18" t="e">
        <f>AND(#REF!,"AAAAAEfZ9qo=")</f>
        <v>#REF!</v>
      </c>
      <c r="FP18" t="e">
        <f>IF(#REF!,"AAAAAEfZ9qs=",0)</f>
        <v>#REF!</v>
      </c>
      <c r="FQ18" t="e">
        <f>AND(#REF!,"AAAAAEfZ9qw=")</f>
        <v>#REF!</v>
      </c>
      <c r="FR18" t="e">
        <f>AND(#REF!,"AAAAAEfZ9q0=")</f>
        <v>#REF!</v>
      </c>
      <c r="FS18" t="e">
        <f>AND(#REF!,"AAAAAEfZ9q4=")</f>
        <v>#REF!</v>
      </c>
      <c r="FT18" t="e">
        <f>AND(#REF!,"AAAAAEfZ9q8=")</f>
        <v>#REF!</v>
      </c>
      <c r="FU18" t="e">
        <f>AND(#REF!,"AAAAAEfZ9rA=")</f>
        <v>#REF!</v>
      </c>
      <c r="FV18" t="e">
        <f>AND(#REF!,"AAAAAEfZ9rE=")</f>
        <v>#REF!</v>
      </c>
      <c r="FW18" t="e">
        <f>AND(#REF!,"AAAAAEfZ9rI=")</f>
        <v>#REF!</v>
      </c>
      <c r="FX18" t="e">
        <f>AND(#REF!,"AAAAAEfZ9rM=")</f>
        <v>#REF!</v>
      </c>
      <c r="FY18" t="e">
        <f>AND(#REF!,"AAAAAEfZ9rQ=")</f>
        <v>#REF!</v>
      </c>
      <c r="FZ18" t="e">
        <f>AND(#REF!,"AAAAAEfZ9rU=")</f>
        <v>#REF!</v>
      </c>
      <c r="GA18" t="e">
        <f>AND(#REF!,"AAAAAEfZ9rY=")</f>
        <v>#REF!</v>
      </c>
      <c r="GB18" t="e">
        <f>AND(#REF!,"AAAAAEfZ9rc=")</f>
        <v>#REF!</v>
      </c>
      <c r="GC18" t="e">
        <f>AND(#REF!,"AAAAAEfZ9rg=")</f>
        <v>#REF!</v>
      </c>
      <c r="GD18" t="e">
        <f>AND(#REF!,"AAAAAEfZ9rk=")</f>
        <v>#REF!</v>
      </c>
      <c r="GE18" t="e">
        <f>AND(#REF!,"AAAAAEfZ9ro=")</f>
        <v>#REF!</v>
      </c>
      <c r="GF18" t="e">
        <f>AND(#REF!,"AAAAAEfZ9rs=")</f>
        <v>#REF!</v>
      </c>
      <c r="GG18" t="e">
        <f>AND(#REF!,"AAAAAEfZ9rw=")</f>
        <v>#REF!</v>
      </c>
      <c r="GH18" t="e">
        <f>AND(#REF!,"AAAAAEfZ9r0=")</f>
        <v>#REF!</v>
      </c>
      <c r="GI18" t="e">
        <f>AND(#REF!,"AAAAAEfZ9r4=")</f>
        <v>#REF!</v>
      </c>
      <c r="GJ18" t="e">
        <f>AND(#REF!,"AAAAAEfZ9r8=")</f>
        <v>#REF!</v>
      </c>
      <c r="GK18" t="e">
        <f>IF(#REF!,"AAAAAEfZ9sA=",0)</f>
        <v>#REF!</v>
      </c>
      <c r="GL18" t="e">
        <f>AND(#REF!,"AAAAAEfZ9sE=")</f>
        <v>#REF!</v>
      </c>
      <c r="GM18" t="e">
        <f>AND(#REF!,"AAAAAEfZ9sI=")</f>
        <v>#REF!</v>
      </c>
      <c r="GN18" t="e">
        <f>AND(#REF!,"AAAAAEfZ9sM=")</f>
        <v>#REF!</v>
      </c>
      <c r="GO18" t="e">
        <f>AND(#REF!,"AAAAAEfZ9sQ=")</f>
        <v>#REF!</v>
      </c>
      <c r="GP18" t="e">
        <f>AND(#REF!,"AAAAAEfZ9sU=")</f>
        <v>#REF!</v>
      </c>
      <c r="GQ18" t="e">
        <f>AND(#REF!,"AAAAAEfZ9sY=")</f>
        <v>#REF!</v>
      </c>
      <c r="GR18" t="e">
        <f>AND(#REF!,"AAAAAEfZ9sc=")</f>
        <v>#REF!</v>
      </c>
      <c r="GS18" t="e">
        <f>AND(#REF!,"AAAAAEfZ9sg=")</f>
        <v>#REF!</v>
      </c>
      <c r="GT18" t="e">
        <f>AND(#REF!,"AAAAAEfZ9sk=")</f>
        <v>#REF!</v>
      </c>
      <c r="GU18" t="e">
        <f>AND(#REF!,"AAAAAEfZ9so=")</f>
        <v>#REF!</v>
      </c>
      <c r="GV18" t="e">
        <f>AND(#REF!,"AAAAAEfZ9ss=")</f>
        <v>#REF!</v>
      </c>
      <c r="GW18" t="e">
        <f>AND(#REF!,"AAAAAEfZ9sw=")</f>
        <v>#REF!</v>
      </c>
      <c r="GX18" t="e">
        <f>AND(#REF!,"AAAAAEfZ9s0=")</f>
        <v>#REF!</v>
      </c>
      <c r="GY18" t="e">
        <f>AND(#REF!,"AAAAAEfZ9s4=")</f>
        <v>#REF!</v>
      </c>
      <c r="GZ18" t="e">
        <f>AND(#REF!,"AAAAAEfZ9s8=")</f>
        <v>#REF!</v>
      </c>
      <c r="HA18" t="e">
        <f>AND(#REF!,"AAAAAEfZ9tA=")</f>
        <v>#REF!</v>
      </c>
      <c r="HB18" t="e">
        <f>AND(#REF!,"AAAAAEfZ9tE=")</f>
        <v>#REF!</v>
      </c>
      <c r="HC18" t="e">
        <f>AND(#REF!,"AAAAAEfZ9tI=")</f>
        <v>#REF!</v>
      </c>
      <c r="HD18" t="e">
        <f>AND(#REF!,"AAAAAEfZ9tM=")</f>
        <v>#REF!</v>
      </c>
      <c r="HE18" t="e">
        <f>AND(#REF!,"AAAAAEfZ9tQ=")</f>
        <v>#REF!</v>
      </c>
      <c r="HF18" t="e">
        <f>IF(#REF!,"AAAAAEfZ9tU=",0)</f>
        <v>#REF!</v>
      </c>
      <c r="HG18" t="e">
        <f>AND(#REF!,"AAAAAEfZ9tY=")</f>
        <v>#REF!</v>
      </c>
      <c r="HH18" t="e">
        <f>AND(#REF!,"AAAAAEfZ9tc=")</f>
        <v>#REF!</v>
      </c>
      <c r="HI18" t="e">
        <f>AND(#REF!,"AAAAAEfZ9tg=")</f>
        <v>#REF!</v>
      </c>
      <c r="HJ18" t="e">
        <f>AND(#REF!,"AAAAAEfZ9tk=")</f>
        <v>#REF!</v>
      </c>
      <c r="HK18" t="e">
        <f>AND(#REF!,"AAAAAEfZ9to=")</f>
        <v>#REF!</v>
      </c>
      <c r="HL18" t="e">
        <f>AND(#REF!,"AAAAAEfZ9ts=")</f>
        <v>#REF!</v>
      </c>
      <c r="HM18" t="e">
        <f>AND(#REF!,"AAAAAEfZ9tw=")</f>
        <v>#REF!</v>
      </c>
      <c r="HN18" t="e">
        <f>AND(#REF!,"AAAAAEfZ9t0=")</f>
        <v>#REF!</v>
      </c>
      <c r="HO18" t="e">
        <f>AND(#REF!,"AAAAAEfZ9t4=")</f>
        <v>#REF!</v>
      </c>
      <c r="HP18" t="e">
        <f>AND(#REF!,"AAAAAEfZ9t8=")</f>
        <v>#REF!</v>
      </c>
      <c r="HQ18" t="e">
        <f>AND(#REF!,"AAAAAEfZ9uA=")</f>
        <v>#REF!</v>
      </c>
      <c r="HR18" t="e">
        <f>AND(#REF!,"AAAAAEfZ9uE=")</f>
        <v>#REF!</v>
      </c>
      <c r="HS18" t="e">
        <f>AND(#REF!,"AAAAAEfZ9uI=")</f>
        <v>#REF!</v>
      </c>
      <c r="HT18" t="e">
        <f>AND(#REF!,"AAAAAEfZ9uM=")</f>
        <v>#REF!</v>
      </c>
      <c r="HU18" t="e">
        <f>AND(#REF!,"AAAAAEfZ9uQ=")</f>
        <v>#REF!</v>
      </c>
      <c r="HV18" t="e">
        <f>AND(#REF!,"AAAAAEfZ9uU=")</f>
        <v>#REF!</v>
      </c>
      <c r="HW18" t="e">
        <f>AND(#REF!,"AAAAAEfZ9uY=")</f>
        <v>#REF!</v>
      </c>
      <c r="HX18" t="e">
        <f>AND(#REF!,"AAAAAEfZ9uc=")</f>
        <v>#REF!</v>
      </c>
      <c r="HY18" t="e">
        <f>AND(#REF!,"AAAAAEfZ9ug=")</f>
        <v>#REF!</v>
      </c>
      <c r="HZ18" t="e">
        <f>AND(#REF!,"AAAAAEfZ9uk=")</f>
        <v>#REF!</v>
      </c>
      <c r="IA18" t="e">
        <f>IF(#REF!,"AAAAAEfZ9uo=",0)</f>
        <v>#REF!</v>
      </c>
      <c r="IB18" t="e">
        <f>AND(#REF!,"AAAAAEfZ9us=")</f>
        <v>#REF!</v>
      </c>
      <c r="IC18" t="e">
        <f>AND(#REF!,"AAAAAEfZ9uw=")</f>
        <v>#REF!</v>
      </c>
      <c r="ID18" t="e">
        <f>AND(#REF!,"AAAAAEfZ9u0=")</f>
        <v>#REF!</v>
      </c>
      <c r="IE18" t="e">
        <f>AND(#REF!,"AAAAAEfZ9u4=")</f>
        <v>#REF!</v>
      </c>
      <c r="IF18" t="e">
        <f>AND(#REF!,"AAAAAEfZ9u8=")</f>
        <v>#REF!</v>
      </c>
      <c r="IG18" t="e">
        <f>AND(#REF!,"AAAAAEfZ9vA=")</f>
        <v>#REF!</v>
      </c>
      <c r="IH18" t="e">
        <f>AND(#REF!,"AAAAAEfZ9vE=")</f>
        <v>#REF!</v>
      </c>
      <c r="II18" t="e">
        <f>AND(#REF!,"AAAAAEfZ9vI=")</f>
        <v>#REF!</v>
      </c>
      <c r="IJ18" t="e">
        <f>AND(#REF!,"AAAAAEfZ9vM=")</f>
        <v>#REF!</v>
      </c>
      <c r="IK18" t="e">
        <f>AND(#REF!,"AAAAAEfZ9vQ=")</f>
        <v>#REF!</v>
      </c>
      <c r="IL18" t="e">
        <f>AND(#REF!,"AAAAAEfZ9vU=")</f>
        <v>#REF!</v>
      </c>
      <c r="IM18" t="e">
        <f>AND(#REF!,"AAAAAEfZ9vY=")</f>
        <v>#REF!</v>
      </c>
      <c r="IN18" t="e">
        <f>AND(#REF!,"AAAAAEfZ9vc=")</f>
        <v>#REF!</v>
      </c>
      <c r="IO18" t="e">
        <f>AND(#REF!,"AAAAAEfZ9vg=")</f>
        <v>#REF!</v>
      </c>
      <c r="IP18" t="e">
        <f>AND(#REF!,"AAAAAEfZ9vk=")</f>
        <v>#REF!</v>
      </c>
      <c r="IQ18" t="e">
        <f>AND(#REF!,"AAAAAEfZ9vo=")</f>
        <v>#REF!</v>
      </c>
      <c r="IR18" t="e">
        <f>AND(#REF!,"AAAAAEfZ9vs=")</f>
        <v>#REF!</v>
      </c>
      <c r="IS18" t="e">
        <f>AND(#REF!,"AAAAAEfZ9vw=")</f>
        <v>#REF!</v>
      </c>
      <c r="IT18" t="e">
        <f>AND(#REF!,"AAAAAEfZ9v0=")</f>
        <v>#REF!</v>
      </c>
      <c r="IU18" t="e">
        <f>AND(#REF!,"AAAAAEfZ9v4=")</f>
        <v>#REF!</v>
      </c>
      <c r="IV18" t="e">
        <f>IF(#REF!,"AAAAAEfZ9v8=",0)</f>
        <v>#REF!</v>
      </c>
    </row>
    <row r="19" spans="1:256">
      <c r="A19" t="e">
        <f>AND(#REF!,"AAAAAH8g/wA=")</f>
        <v>#REF!</v>
      </c>
      <c r="B19" t="e">
        <f>AND(#REF!,"AAAAAH8g/wE=")</f>
        <v>#REF!</v>
      </c>
      <c r="C19" t="e">
        <f>AND(#REF!,"AAAAAH8g/wI=")</f>
        <v>#REF!</v>
      </c>
      <c r="D19" t="e">
        <f>AND(#REF!,"AAAAAH8g/wM=")</f>
        <v>#REF!</v>
      </c>
      <c r="E19" t="e">
        <f>AND(#REF!,"AAAAAH8g/wQ=")</f>
        <v>#REF!</v>
      </c>
      <c r="F19" t="e">
        <f>AND(#REF!,"AAAAAH8g/wU=")</f>
        <v>#REF!</v>
      </c>
      <c r="G19" t="e">
        <f>AND(#REF!,"AAAAAH8g/wY=")</f>
        <v>#REF!</v>
      </c>
      <c r="H19" t="e">
        <f>AND(#REF!,"AAAAAH8g/wc=")</f>
        <v>#REF!</v>
      </c>
      <c r="I19" t="e">
        <f>AND(#REF!,"AAAAAH8g/wg=")</f>
        <v>#REF!</v>
      </c>
      <c r="J19" t="e">
        <f>AND(#REF!,"AAAAAH8g/wk=")</f>
        <v>#REF!</v>
      </c>
      <c r="K19" t="e">
        <f>AND(#REF!,"AAAAAH8g/wo=")</f>
        <v>#REF!</v>
      </c>
      <c r="L19" t="e">
        <f>AND(#REF!,"AAAAAH8g/ws=")</f>
        <v>#REF!</v>
      </c>
      <c r="M19" t="e">
        <f>AND(#REF!,"AAAAAH8g/ww=")</f>
        <v>#REF!</v>
      </c>
      <c r="N19" t="e">
        <f>AND(#REF!,"AAAAAH8g/w0=")</f>
        <v>#REF!</v>
      </c>
      <c r="O19" t="e">
        <f>AND(#REF!,"AAAAAH8g/w4=")</f>
        <v>#REF!</v>
      </c>
      <c r="P19" t="e">
        <f>AND(#REF!,"AAAAAH8g/w8=")</f>
        <v>#REF!</v>
      </c>
      <c r="Q19" t="e">
        <f>AND(#REF!,"AAAAAH8g/xA=")</f>
        <v>#REF!</v>
      </c>
      <c r="R19" t="e">
        <f>AND(#REF!,"AAAAAH8g/xE=")</f>
        <v>#REF!</v>
      </c>
      <c r="S19" t="e">
        <f>AND(#REF!,"AAAAAH8g/xI=")</f>
        <v>#REF!</v>
      </c>
      <c r="T19" t="e">
        <f>AND(#REF!,"AAAAAH8g/xM=")</f>
        <v>#REF!</v>
      </c>
      <c r="U19" t="e">
        <f>IF(#REF!,"AAAAAH8g/xQ=",0)</f>
        <v>#REF!</v>
      </c>
      <c r="V19" t="e">
        <f>AND(#REF!,"AAAAAH8g/xU=")</f>
        <v>#REF!</v>
      </c>
      <c r="W19" t="e">
        <f>AND(#REF!,"AAAAAH8g/xY=")</f>
        <v>#REF!</v>
      </c>
      <c r="X19" t="e">
        <f>AND(#REF!,"AAAAAH8g/xc=")</f>
        <v>#REF!</v>
      </c>
      <c r="Y19" t="e">
        <f>AND(#REF!,"AAAAAH8g/xg=")</f>
        <v>#REF!</v>
      </c>
      <c r="Z19" t="e">
        <f>AND(#REF!,"AAAAAH8g/xk=")</f>
        <v>#REF!</v>
      </c>
      <c r="AA19" t="e">
        <f>AND(#REF!,"AAAAAH8g/xo=")</f>
        <v>#REF!</v>
      </c>
      <c r="AB19" t="e">
        <f>AND(#REF!,"AAAAAH8g/xs=")</f>
        <v>#REF!</v>
      </c>
      <c r="AC19" t="e">
        <f>AND(#REF!,"AAAAAH8g/xw=")</f>
        <v>#REF!</v>
      </c>
      <c r="AD19" t="e">
        <f>AND(#REF!,"AAAAAH8g/x0=")</f>
        <v>#REF!</v>
      </c>
      <c r="AE19" t="e">
        <f>AND(#REF!,"AAAAAH8g/x4=")</f>
        <v>#REF!</v>
      </c>
      <c r="AF19" t="e">
        <f>AND(#REF!,"AAAAAH8g/x8=")</f>
        <v>#REF!</v>
      </c>
      <c r="AG19" t="e">
        <f>AND(#REF!,"AAAAAH8g/yA=")</f>
        <v>#REF!</v>
      </c>
      <c r="AH19" t="e">
        <f>AND(#REF!,"AAAAAH8g/yE=")</f>
        <v>#REF!</v>
      </c>
      <c r="AI19" t="e">
        <f>AND(#REF!,"AAAAAH8g/yI=")</f>
        <v>#REF!</v>
      </c>
      <c r="AJ19" t="e">
        <f>AND(#REF!,"AAAAAH8g/yM=")</f>
        <v>#REF!</v>
      </c>
      <c r="AK19" t="e">
        <f>AND(#REF!,"AAAAAH8g/yQ=")</f>
        <v>#REF!</v>
      </c>
      <c r="AL19" t="e">
        <f>AND(#REF!,"AAAAAH8g/yU=")</f>
        <v>#REF!</v>
      </c>
      <c r="AM19" t="e">
        <f>AND(#REF!,"AAAAAH8g/yY=")</f>
        <v>#REF!</v>
      </c>
      <c r="AN19" t="e">
        <f>AND(#REF!,"AAAAAH8g/yc=")</f>
        <v>#REF!</v>
      </c>
      <c r="AO19" t="e">
        <f>AND(#REF!,"AAAAAH8g/yg=")</f>
        <v>#REF!</v>
      </c>
      <c r="AP19" t="e">
        <f>IF(#REF!,"AAAAAH8g/yk=",0)</f>
        <v>#REF!</v>
      </c>
      <c r="AQ19" t="e">
        <f>AND(#REF!,"AAAAAH8g/yo=")</f>
        <v>#REF!</v>
      </c>
      <c r="AR19" t="e">
        <f>AND(#REF!,"AAAAAH8g/ys=")</f>
        <v>#REF!</v>
      </c>
      <c r="AS19" t="e">
        <f>AND(#REF!,"AAAAAH8g/yw=")</f>
        <v>#REF!</v>
      </c>
      <c r="AT19" t="e">
        <f>AND(#REF!,"AAAAAH8g/y0=")</f>
        <v>#REF!</v>
      </c>
      <c r="AU19" t="e">
        <f>AND(#REF!,"AAAAAH8g/y4=")</f>
        <v>#REF!</v>
      </c>
      <c r="AV19" t="e">
        <f>AND(#REF!,"AAAAAH8g/y8=")</f>
        <v>#REF!</v>
      </c>
      <c r="AW19" t="e">
        <f>AND(#REF!,"AAAAAH8g/zA=")</f>
        <v>#REF!</v>
      </c>
      <c r="AX19" t="e">
        <f>AND(#REF!,"AAAAAH8g/zE=")</f>
        <v>#REF!</v>
      </c>
      <c r="AY19" t="e">
        <f>AND(#REF!,"AAAAAH8g/zI=")</f>
        <v>#REF!</v>
      </c>
      <c r="AZ19" t="e">
        <f>AND(#REF!,"AAAAAH8g/zM=")</f>
        <v>#REF!</v>
      </c>
      <c r="BA19" t="e">
        <f>AND(#REF!,"AAAAAH8g/zQ=")</f>
        <v>#REF!</v>
      </c>
      <c r="BB19" t="e">
        <f>AND(#REF!,"AAAAAH8g/zU=")</f>
        <v>#REF!</v>
      </c>
      <c r="BC19" t="e">
        <f>AND(#REF!,"AAAAAH8g/zY=")</f>
        <v>#REF!</v>
      </c>
      <c r="BD19" t="e">
        <f>AND(#REF!,"AAAAAH8g/zc=")</f>
        <v>#REF!</v>
      </c>
      <c r="BE19" t="e">
        <f>AND(#REF!,"AAAAAH8g/zg=")</f>
        <v>#REF!</v>
      </c>
      <c r="BF19" t="e">
        <f>AND(#REF!,"AAAAAH8g/zk=")</f>
        <v>#REF!</v>
      </c>
      <c r="BG19" t="e">
        <f>AND(#REF!,"AAAAAH8g/zo=")</f>
        <v>#REF!</v>
      </c>
      <c r="BH19" t="e">
        <f>AND(#REF!,"AAAAAH8g/zs=")</f>
        <v>#REF!</v>
      </c>
      <c r="BI19" t="e">
        <f>AND(#REF!,"AAAAAH8g/zw=")</f>
        <v>#REF!</v>
      </c>
      <c r="BJ19" t="e">
        <f>AND(#REF!,"AAAAAH8g/z0=")</f>
        <v>#REF!</v>
      </c>
      <c r="BK19" t="e">
        <f>IF(#REF!,"AAAAAH8g/z4=",0)</f>
        <v>#REF!</v>
      </c>
      <c r="BL19" t="e">
        <f>AND(#REF!,"AAAAAH8g/z8=")</f>
        <v>#REF!</v>
      </c>
      <c r="BM19" t="e">
        <f>AND(#REF!,"AAAAAH8g/0A=")</f>
        <v>#REF!</v>
      </c>
      <c r="BN19" t="e">
        <f>AND(#REF!,"AAAAAH8g/0E=")</f>
        <v>#REF!</v>
      </c>
      <c r="BO19" t="e">
        <f>AND(#REF!,"AAAAAH8g/0I=")</f>
        <v>#REF!</v>
      </c>
      <c r="BP19" t="e">
        <f>AND(#REF!,"AAAAAH8g/0M=")</f>
        <v>#REF!</v>
      </c>
      <c r="BQ19" t="e">
        <f>AND(#REF!,"AAAAAH8g/0Q=")</f>
        <v>#REF!</v>
      </c>
      <c r="BR19" t="e">
        <f>AND(#REF!,"AAAAAH8g/0U=")</f>
        <v>#REF!</v>
      </c>
      <c r="BS19" t="e">
        <f>AND(#REF!,"AAAAAH8g/0Y=")</f>
        <v>#REF!</v>
      </c>
      <c r="BT19" t="e">
        <f>AND(#REF!,"AAAAAH8g/0c=")</f>
        <v>#REF!</v>
      </c>
      <c r="BU19" t="e">
        <f>AND(#REF!,"AAAAAH8g/0g=")</f>
        <v>#REF!</v>
      </c>
      <c r="BV19" t="e">
        <f>AND(#REF!,"AAAAAH8g/0k=")</f>
        <v>#REF!</v>
      </c>
      <c r="BW19" t="e">
        <f>AND(#REF!,"AAAAAH8g/0o=")</f>
        <v>#REF!</v>
      </c>
      <c r="BX19" t="e">
        <f>AND(#REF!,"AAAAAH8g/0s=")</f>
        <v>#REF!</v>
      </c>
      <c r="BY19" t="e">
        <f>AND(#REF!,"AAAAAH8g/0w=")</f>
        <v>#REF!</v>
      </c>
      <c r="BZ19" t="e">
        <f>AND(#REF!,"AAAAAH8g/00=")</f>
        <v>#REF!</v>
      </c>
      <c r="CA19" t="e">
        <f>AND(#REF!,"AAAAAH8g/04=")</f>
        <v>#REF!</v>
      </c>
      <c r="CB19" t="e">
        <f>AND(#REF!,"AAAAAH8g/08=")</f>
        <v>#REF!</v>
      </c>
      <c r="CC19" t="e">
        <f>AND(#REF!,"AAAAAH8g/1A=")</f>
        <v>#REF!</v>
      </c>
      <c r="CD19" t="e">
        <f>AND(#REF!,"AAAAAH8g/1E=")</f>
        <v>#REF!</v>
      </c>
      <c r="CE19" t="e">
        <f>AND(#REF!,"AAAAAH8g/1I=")</f>
        <v>#REF!</v>
      </c>
      <c r="CF19" t="e">
        <f>IF(#REF!,"AAAAAH8g/1M=",0)</f>
        <v>#REF!</v>
      </c>
      <c r="CG19" t="e">
        <f>AND(#REF!,"AAAAAH8g/1Q=")</f>
        <v>#REF!</v>
      </c>
      <c r="CH19" t="e">
        <f>AND(#REF!,"AAAAAH8g/1U=")</f>
        <v>#REF!</v>
      </c>
      <c r="CI19" t="e">
        <f>AND(#REF!,"AAAAAH8g/1Y=")</f>
        <v>#REF!</v>
      </c>
      <c r="CJ19" t="e">
        <f>AND(#REF!,"AAAAAH8g/1c=")</f>
        <v>#REF!</v>
      </c>
      <c r="CK19" t="e">
        <f>AND(#REF!,"AAAAAH8g/1g=")</f>
        <v>#REF!</v>
      </c>
      <c r="CL19" t="e">
        <f>AND(#REF!,"AAAAAH8g/1k=")</f>
        <v>#REF!</v>
      </c>
      <c r="CM19" t="e">
        <f>AND(#REF!,"AAAAAH8g/1o=")</f>
        <v>#REF!</v>
      </c>
      <c r="CN19" t="e">
        <f>AND(#REF!,"AAAAAH8g/1s=")</f>
        <v>#REF!</v>
      </c>
      <c r="CO19" t="e">
        <f>AND(#REF!,"AAAAAH8g/1w=")</f>
        <v>#REF!</v>
      </c>
      <c r="CP19" t="e">
        <f>AND(#REF!,"AAAAAH8g/10=")</f>
        <v>#REF!</v>
      </c>
      <c r="CQ19" t="e">
        <f>AND(#REF!,"AAAAAH8g/14=")</f>
        <v>#REF!</v>
      </c>
      <c r="CR19" t="e">
        <f>AND(#REF!,"AAAAAH8g/18=")</f>
        <v>#REF!</v>
      </c>
      <c r="CS19" t="e">
        <f>AND(#REF!,"AAAAAH8g/2A=")</f>
        <v>#REF!</v>
      </c>
      <c r="CT19" t="e">
        <f>AND(#REF!,"AAAAAH8g/2E=")</f>
        <v>#REF!</v>
      </c>
      <c r="CU19" t="e">
        <f>AND(#REF!,"AAAAAH8g/2I=")</f>
        <v>#REF!</v>
      </c>
      <c r="CV19" t="e">
        <f>AND(#REF!,"AAAAAH8g/2M=")</f>
        <v>#REF!</v>
      </c>
      <c r="CW19" t="e">
        <f>AND(#REF!,"AAAAAH8g/2Q=")</f>
        <v>#REF!</v>
      </c>
      <c r="CX19" t="e">
        <f>AND(#REF!,"AAAAAH8g/2U=")</f>
        <v>#REF!</v>
      </c>
      <c r="CY19" t="e">
        <f>AND(#REF!,"AAAAAH8g/2Y=")</f>
        <v>#REF!</v>
      </c>
      <c r="CZ19" t="e">
        <f>AND(#REF!,"AAAAAH8g/2c=")</f>
        <v>#REF!</v>
      </c>
      <c r="DA19" t="e">
        <f>IF(#REF!,"AAAAAH8g/2g=",0)</f>
        <v>#REF!</v>
      </c>
      <c r="DB19" t="e">
        <f>AND(#REF!,"AAAAAH8g/2k=")</f>
        <v>#REF!</v>
      </c>
      <c r="DC19" t="e">
        <f>AND(#REF!,"AAAAAH8g/2o=")</f>
        <v>#REF!</v>
      </c>
      <c r="DD19" t="e">
        <f>AND(#REF!,"AAAAAH8g/2s=")</f>
        <v>#REF!</v>
      </c>
      <c r="DE19" t="e">
        <f>AND(#REF!,"AAAAAH8g/2w=")</f>
        <v>#REF!</v>
      </c>
      <c r="DF19" t="e">
        <f>AND(#REF!,"AAAAAH8g/20=")</f>
        <v>#REF!</v>
      </c>
      <c r="DG19" t="e">
        <f>AND(#REF!,"AAAAAH8g/24=")</f>
        <v>#REF!</v>
      </c>
      <c r="DH19" t="e">
        <f>AND(#REF!,"AAAAAH8g/28=")</f>
        <v>#REF!</v>
      </c>
      <c r="DI19" t="e">
        <f>AND(#REF!,"AAAAAH8g/3A=")</f>
        <v>#REF!</v>
      </c>
      <c r="DJ19" t="e">
        <f>AND(#REF!,"AAAAAH8g/3E=")</f>
        <v>#REF!</v>
      </c>
      <c r="DK19" t="e">
        <f>AND(#REF!,"AAAAAH8g/3I=")</f>
        <v>#REF!</v>
      </c>
      <c r="DL19" t="e">
        <f>AND(#REF!,"AAAAAH8g/3M=")</f>
        <v>#REF!</v>
      </c>
      <c r="DM19" t="e">
        <f>AND(#REF!,"AAAAAH8g/3Q=")</f>
        <v>#REF!</v>
      </c>
      <c r="DN19" t="e">
        <f>AND(#REF!,"AAAAAH8g/3U=")</f>
        <v>#REF!</v>
      </c>
      <c r="DO19" t="e">
        <f>AND(#REF!,"AAAAAH8g/3Y=")</f>
        <v>#REF!</v>
      </c>
      <c r="DP19" t="e">
        <f>AND(#REF!,"AAAAAH8g/3c=")</f>
        <v>#REF!</v>
      </c>
      <c r="DQ19" t="e">
        <f>AND(#REF!,"AAAAAH8g/3g=")</f>
        <v>#REF!</v>
      </c>
      <c r="DR19" t="e">
        <f>AND(#REF!,"AAAAAH8g/3k=")</f>
        <v>#REF!</v>
      </c>
      <c r="DS19" t="e">
        <f>AND(#REF!,"AAAAAH8g/3o=")</f>
        <v>#REF!</v>
      </c>
      <c r="DT19" t="e">
        <f>AND(#REF!,"AAAAAH8g/3s=")</f>
        <v>#REF!</v>
      </c>
      <c r="DU19" t="e">
        <f>AND(#REF!,"AAAAAH8g/3w=")</f>
        <v>#REF!</v>
      </c>
      <c r="DV19" t="e">
        <f>IF(#REF!,"AAAAAH8g/30=",0)</f>
        <v>#REF!</v>
      </c>
      <c r="DW19" t="e">
        <f>AND(#REF!,"AAAAAH8g/34=")</f>
        <v>#REF!</v>
      </c>
      <c r="DX19" t="e">
        <f>AND(#REF!,"AAAAAH8g/38=")</f>
        <v>#REF!</v>
      </c>
      <c r="DY19" t="e">
        <f>AND(#REF!,"AAAAAH8g/4A=")</f>
        <v>#REF!</v>
      </c>
      <c r="DZ19" t="e">
        <f>AND(#REF!,"AAAAAH8g/4E=")</f>
        <v>#REF!</v>
      </c>
      <c r="EA19" t="e">
        <f>AND(#REF!,"AAAAAH8g/4I=")</f>
        <v>#REF!</v>
      </c>
      <c r="EB19" t="e">
        <f>AND(#REF!,"AAAAAH8g/4M=")</f>
        <v>#REF!</v>
      </c>
      <c r="EC19" t="e">
        <f>AND(#REF!,"AAAAAH8g/4Q=")</f>
        <v>#REF!</v>
      </c>
      <c r="ED19" t="e">
        <f>AND(#REF!,"AAAAAH8g/4U=")</f>
        <v>#REF!</v>
      </c>
      <c r="EE19" t="e">
        <f>AND(#REF!,"AAAAAH8g/4Y=")</f>
        <v>#REF!</v>
      </c>
      <c r="EF19" t="e">
        <f>AND(#REF!,"AAAAAH8g/4c=")</f>
        <v>#REF!</v>
      </c>
      <c r="EG19" t="e">
        <f>AND(#REF!,"AAAAAH8g/4g=")</f>
        <v>#REF!</v>
      </c>
      <c r="EH19" t="e">
        <f>AND(#REF!,"AAAAAH8g/4k=")</f>
        <v>#REF!</v>
      </c>
      <c r="EI19" t="e">
        <f>AND(#REF!,"AAAAAH8g/4o=")</f>
        <v>#REF!</v>
      </c>
      <c r="EJ19" t="e">
        <f>AND(#REF!,"AAAAAH8g/4s=")</f>
        <v>#REF!</v>
      </c>
      <c r="EK19" t="e">
        <f>AND(#REF!,"AAAAAH8g/4w=")</f>
        <v>#REF!</v>
      </c>
      <c r="EL19" t="e">
        <f>AND(#REF!,"AAAAAH8g/40=")</f>
        <v>#REF!</v>
      </c>
      <c r="EM19" t="e">
        <f>AND(#REF!,"AAAAAH8g/44=")</f>
        <v>#REF!</v>
      </c>
      <c r="EN19" t="e">
        <f>AND(#REF!,"AAAAAH8g/48=")</f>
        <v>#REF!</v>
      </c>
      <c r="EO19" t="e">
        <f>AND(#REF!,"AAAAAH8g/5A=")</f>
        <v>#REF!</v>
      </c>
      <c r="EP19" t="e">
        <f>AND(#REF!,"AAAAAH8g/5E=")</f>
        <v>#REF!</v>
      </c>
      <c r="EQ19" t="e">
        <f>IF(#REF!,"AAAAAH8g/5I=",0)</f>
        <v>#REF!</v>
      </c>
      <c r="ER19" t="e">
        <f>AND(#REF!,"AAAAAH8g/5M=")</f>
        <v>#REF!</v>
      </c>
      <c r="ES19" t="e">
        <f>AND(#REF!,"AAAAAH8g/5Q=")</f>
        <v>#REF!</v>
      </c>
      <c r="ET19" t="e">
        <f>AND(#REF!,"AAAAAH8g/5U=")</f>
        <v>#REF!</v>
      </c>
      <c r="EU19" t="e">
        <f>AND(#REF!,"AAAAAH8g/5Y=")</f>
        <v>#REF!</v>
      </c>
      <c r="EV19" t="e">
        <f>AND(#REF!,"AAAAAH8g/5c=")</f>
        <v>#REF!</v>
      </c>
      <c r="EW19" t="e">
        <f>AND(#REF!,"AAAAAH8g/5g=")</f>
        <v>#REF!</v>
      </c>
      <c r="EX19" t="e">
        <f>AND(#REF!,"AAAAAH8g/5k=")</f>
        <v>#REF!</v>
      </c>
      <c r="EY19" t="e">
        <f>AND(#REF!,"AAAAAH8g/5o=")</f>
        <v>#REF!</v>
      </c>
      <c r="EZ19" t="e">
        <f>AND(#REF!,"AAAAAH8g/5s=")</f>
        <v>#REF!</v>
      </c>
      <c r="FA19" t="e">
        <f>AND(#REF!,"AAAAAH8g/5w=")</f>
        <v>#REF!</v>
      </c>
      <c r="FB19" t="e">
        <f>AND(#REF!,"AAAAAH8g/50=")</f>
        <v>#REF!</v>
      </c>
      <c r="FC19" t="e">
        <f>AND(#REF!,"AAAAAH8g/54=")</f>
        <v>#REF!</v>
      </c>
      <c r="FD19" t="e">
        <f>AND(#REF!,"AAAAAH8g/58=")</f>
        <v>#REF!</v>
      </c>
      <c r="FE19" t="e">
        <f>AND(#REF!,"AAAAAH8g/6A=")</f>
        <v>#REF!</v>
      </c>
      <c r="FF19" t="e">
        <f>AND(#REF!,"AAAAAH8g/6E=")</f>
        <v>#REF!</v>
      </c>
      <c r="FG19" t="e">
        <f>AND(#REF!,"AAAAAH8g/6I=")</f>
        <v>#REF!</v>
      </c>
      <c r="FH19" t="e">
        <f>AND(#REF!,"AAAAAH8g/6M=")</f>
        <v>#REF!</v>
      </c>
      <c r="FI19" t="e">
        <f>AND(#REF!,"AAAAAH8g/6Q=")</f>
        <v>#REF!</v>
      </c>
      <c r="FJ19" t="e">
        <f>AND(#REF!,"AAAAAH8g/6U=")</f>
        <v>#REF!</v>
      </c>
      <c r="FK19" t="e">
        <f>AND(#REF!,"AAAAAH8g/6Y=")</f>
        <v>#REF!</v>
      </c>
      <c r="FL19" t="e">
        <f>IF(#REF!,"AAAAAH8g/6c=",0)</f>
        <v>#REF!</v>
      </c>
      <c r="FM19" t="e">
        <f>AND(#REF!,"AAAAAH8g/6g=")</f>
        <v>#REF!</v>
      </c>
      <c r="FN19" t="e">
        <f>AND(#REF!,"AAAAAH8g/6k=")</f>
        <v>#REF!</v>
      </c>
      <c r="FO19" t="e">
        <f>AND(#REF!,"AAAAAH8g/6o=")</f>
        <v>#REF!</v>
      </c>
      <c r="FP19" t="e">
        <f>AND(#REF!,"AAAAAH8g/6s=")</f>
        <v>#REF!</v>
      </c>
      <c r="FQ19" t="e">
        <f>AND(#REF!,"AAAAAH8g/6w=")</f>
        <v>#REF!</v>
      </c>
      <c r="FR19" t="e">
        <f>AND(#REF!,"AAAAAH8g/60=")</f>
        <v>#REF!</v>
      </c>
      <c r="FS19" t="e">
        <f>AND(#REF!,"AAAAAH8g/64=")</f>
        <v>#REF!</v>
      </c>
      <c r="FT19" t="e">
        <f>AND(#REF!,"AAAAAH8g/68=")</f>
        <v>#REF!</v>
      </c>
      <c r="FU19" t="e">
        <f>AND(#REF!,"AAAAAH8g/7A=")</f>
        <v>#REF!</v>
      </c>
      <c r="FV19" t="e">
        <f>AND(#REF!,"AAAAAH8g/7E=")</f>
        <v>#REF!</v>
      </c>
      <c r="FW19" t="e">
        <f>AND(#REF!,"AAAAAH8g/7I=")</f>
        <v>#REF!</v>
      </c>
      <c r="FX19" t="e">
        <f>AND(#REF!,"AAAAAH8g/7M=")</f>
        <v>#REF!</v>
      </c>
      <c r="FY19" t="e">
        <f>AND(#REF!,"AAAAAH8g/7Q=")</f>
        <v>#REF!</v>
      </c>
      <c r="FZ19" t="e">
        <f>AND(#REF!,"AAAAAH8g/7U=")</f>
        <v>#REF!</v>
      </c>
      <c r="GA19" t="e">
        <f>AND(#REF!,"AAAAAH8g/7Y=")</f>
        <v>#REF!</v>
      </c>
      <c r="GB19" t="e">
        <f>AND(#REF!,"AAAAAH8g/7c=")</f>
        <v>#REF!</v>
      </c>
      <c r="GC19" t="e">
        <f>AND(#REF!,"AAAAAH8g/7g=")</f>
        <v>#REF!</v>
      </c>
      <c r="GD19" t="e">
        <f>AND(#REF!,"AAAAAH8g/7k=")</f>
        <v>#REF!</v>
      </c>
      <c r="GE19" t="e">
        <f>AND(#REF!,"AAAAAH8g/7o=")</f>
        <v>#REF!</v>
      </c>
      <c r="GF19" t="e">
        <f>AND(#REF!,"AAAAAH8g/7s=")</f>
        <v>#REF!</v>
      </c>
      <c r="GG19" t="e">
        <f>IF(#REF!,"AAAAAH8g/7w=",0)</f>
        <v>#REF!</v>
      </c>
      <c r="GH19" t="e">
        <f>AND(#REF!,"AAAAAH8g/70=")</f>
        <v>#REF!</v>
      </c>
      <c r="GI19" t="e">
        <f>AND(#REF!,"AAAAAH8g/74=")</f>
        <v>#REF!</v>
      </c>
      <c r="GJ19" t="e">
        <f>AND(#REF!,"AAAAAH8g/78=")</f>
        <v>#REF!</v>
      </c>
      <c r="GK19" t="e">
        <f>AND(#REF!,"AAAAAH8g/8A=")</f>
        <v>#REF!</v>
      </c>
      <c r="GL19" t="e">
        <f>AND(#REF!,"AAAAAH8g/8E=")</f>
        <v>#REF!</v>
      </c>
      <c r="GM19" t="e">
        <f>AND(#REF!,"AAAAAH8g/8I=")</f>
        <v>#REF!</v>
      </c>
      <c r="GN19" t="e">
        <f>AND(#REF!,"AAAAAH8g/8M=")</f>
        <v>#REF!</v>
      </c>
      <c r="GO19" t="e">
        <f>AND(#REF!,"AAAAAH8g/8Q=")</f>
        <v>#REF!</v>
      </c>
      <c r="GP19" t="e">
        <f>AND(#REF!,"AAAAAH8g/8U=")</f>
        <v>#REF!</v>
      </c>
      <c r="GQ19" t="e">
        <f>AND(#REF!,"AAAAAH8g/8Y=")</f>
        <v>#REF!</v>
      </c>
      <c r="GR19" t="e">
        <f>AND(#REF!,"AAAAAH8g/8c=")</f>
        <v>#REF!</v>
      </c>
      <c r="GS19" t="e">
        <f>AND(#REF!,"AAAAAH8g/8g=")</f>
        <v>#REF!</v>
      </c>
      <c r="GT19" t="e">
        <f>AND(#REF!,"AAAAAH8g/8k=")</f>
        <v>#REF!</v>
      </c>
      <c r="GU19" t="e">
        <f>AND(#REF!,"AAAAAH8g/8o=")</f>
        <v>#REF!</v>
      </c>
      <c r="GV19" t="e">
        <f>AND(#REF!,"AAAAAH8g/8s=")</f>
        <v>#REF!</v>
      </c>
      <c r="GW19" t="e">
        <f>AND(#REF!,"AAAAAH8g/8w=")</f>
        <v>#REF!</v>
      </c>
      <c r="GX19" t="e">
        <f>AND(#REF!,"AAAAAH8g/80=")</f>
        <v>#REF!</v>
      </c>
      <c r="GY19" t="e">
        <f>AND(#REF!,"AAAAAH8g/84=")</f>
        <v>#REF!</v>
      </c>
      <c r="GZ19" t="e">
        <f>AND(#REF!,"AAAAAH8g/88=")</f>
        <v>#REF!</v>
      </c>
      <c r="HA19" t="e">
        <f>AND(#REF!,"AAAAAH8g/9A=")</f>
        <v>#REF!</v>
      </c>
      <c r="HB19" t="e">
        <f>IF(#REF!,"AAAAAH8g/9E=",0)</f>
        <v>#REF!</v>
      </c>
      <c r="HC19" t="e">
        <f>AND(#REF!,"AAAAAH8g/9I=")</f>
        <v>#REF!</v>
      </c>
      <c r="HD19" t="e">
        <f>AND(#REF!,"AAAAAH8g/9M=")</f>
        <v>#REF!</v>
      </c>
      <c r="HE19" t="e">
        <f>AND(#REF!,"AAAAAH8g/9Q=")</f>
        <v>#REF!</v>
      </c>
      <c r="HF19" t="e">
        <f>AND(#REF!,"AAAAAH8g/9U=")</f>
        <v>#REF!</v>
      </c>
      <c r="HG19" t="e">
        <f>AND(#REF!,"AAAAAH8g/9Y=")</f>
        <v>#REF!</v>
      </c>
      <c r="HH19" t="e">
        <f>AND(#REF!,"AAAAAH8g/9c=")</f>
        <v>#REF!</v>
      </c>
      <c r="HI19" t="e">
        <f>AND(#REF!,"AAAAAH8g/9g=")</f>
        <v>#REF!</v>
      </c>
      <c r="HJ19" t="e">
        <f>AND(#REF!,"AAAAAH8g/9k=")</f>
        <v>#REF!</v>
      </c>
      <c r="HK19" t="e">
        <f>AND(#REF!,"AAAAAH8g/9o=")</f>
        <v>#REF!</v>
      </c>
      <c r="HL19" t="e">
        <f>AND(#REF!,"AAAAAH8g/9s=")</f>
        <v>#REF!</v>
      </c>
      <c r="HM19" t="e">
        <f>AND(#REF!,"AAAAAH8g/9w=")</f>
        <v>#REF!</v>
      </c>
      <c r="HN19" t="e">
        <f>AND(#REF!,"AAAAAH8g/90=")</f>
        <v>#REF!</v>
      </c>
      <c r="HO19" t="e">
        <f>AND(#REF!,"AAAAAH8g/94=")</f>
        <v>#REF!</v>
      </c>
      <c r="HP19" t="e">
        <f>AND(#REF!,"AAAAAH8g/98=")</f>
        <v>#REF!</v>
      </c>
      <c r="HQ19" t="e">
        <f>AND(#REF!,"AAAAAH8g/+A=")</f>
        <v>#REF!</v>
      </c>
      <c r="HR19" t="e">
        <f>AND(#REF!,"AAAAAH8g/+E=")</f>
        <v>#REF!</v>
      </c>
      <c r="HS19" t="e">
        <f>AND(#REF!,"AAAAAH8g/+I=")</f>
        <v>#REF!</v>
      </c>
      <c r="HT19" t="e">
        <f>AND(#REF!,"AAAAAH8g/+M=")</f>
        <v>#REF!</v>
      </c>
      <c r="HU19" t="e">
        <f>AND(#REF!,"AAAAAH8g/+Q=")</f>
        <v>#REF!</v>
      </c>
      <c r="HV19" t="e">
        <f>AND(#REF!,"AAAAAH8g/+U=")</f>
        <v>#REF!</v>
      </c>
      <c r="HW19" t="e">
        <f>IF(#REF!,"AAAAAH8g/+Y=",0)</f>
        <v>#REF!</v>
      </c>
      <c r="HX19" t="e">
        <f>AND(#REF!,"AAAAAH8g/+c=")</f>
        <v>#REF!</v>
      </c>
      <c r="HY19" t="e">
        <f>AND(#REF!,"AAAAAH8g/+g=")</f>
        <v>#REF!</v>
      </c>
      <c r="HZ19" t="e">
        <f>AND(#REF!,"AAAAAH8g/+k=")</f>
        <v>#REF!</v>
      </c>
      <c r="IA19" t="e">
        <f>AND(#REF!,"AAAAAH8g/+o=")</f>
        <v>#REF!</v>
      </c>
      <c r="IB19" t="e">
        <f>AND(#REF!,"AAAAAH8g/+s=")</f>
        <v>#REF!</v>
      </c>
      <c r="IC19" t="e">
        <f>AND(#REF!,"AAAAAH8g/+w=")</f>
        <v>#REF!</v>
      </c>
      <c r="ID19" t="e">
        <f>AND(#REF!,"AAAAAH8g/+0=")</f>
        <v>#REF!</v>
      </c>
      <c r="IE19" t="e">
        <f>AND(#REF!,"AAAAAH8g/+4=")</f>
        <v>#REF!</v>
      </c>
      <c r="IF19" t="e">
        <f>AND(#REF!,"AAAAAH8g/+8=")</f>
        <v>#REF!</v>
      </c>
      <c r="IG19" t="e">
        <f>AND(#REF!,"AAAAAH8g//A=")</f>
        <v>#REF!</v>
      </c>
      <c r="IH19" t="e">
        <f>AND(#REF!,"AAAAAH8g//E=")</f>
        <v>#REF!</v>
      </c>
      <c r="II19" t="e">
        <f>AND(#REF!,"AAAAAH8g//I=")</f>
        <v>#REF!</v>
      </c>
      <c r="IJ19" t="e">
        <f>AND(#REF!,"AAAAAH8g//M=")</f>
        <v>#REF!</v>
      </c>
      <c r="IK19" t="e">
        <f>AND(#REF!,"AAAAAH8g//Q=")</f>
        <v>#REF!</v>
      </c>
      <c r="IL19" t="e">
        <f>AND(#REF!,"AAAAAH8g//U=")</f>
        <v>#REF!</v>
      </c>
      <c r="IM19" t="e">
        <f>AND(#REF!,"AAAAAH8g//Y=")</f>
        <v>#REF!</v>
      </c>
      <c r="IN19" t="e">
        <f>AND(#REF!,"AAAAAH8g//c=")</f>
        <v>#REF!</v>
      </c>
      <c r="IO19" t="e">
        <f>AND(#REF!,"AAAAAH8g//g=")</f>
        <v>#REF!</v>
      </c>
      <c r="IP19" t="e">
        <f>AND(#REF!,"AAAAAH8g//k=")</f>
        <v>#REF!</v>
      </c>
      <c r="IQ19" t="e">
        <f>AND(#REF!,"AAAAAH8g//o=")</f>
        <v>#REF!</v>
      </c>
      <c r="IR19" t="e">
        <f>IF(#REF!,"AAAAAH8g//s=",0)</f>
        <v>#REF!</v>
      </c>
      <c r="IS19" t="e">
        <f>AND(#REF!,"AAAAAH8g//w=")</f>
        <v>#REF!</v>
      </c>
      <c r="IT19" t="e">
        <f>AND(#REF!,"AAAAAH8g//0=")</f>
        <v>#REF!</v>
      </c>
      <c r="IU19" t="e">
        <f>AND(#REF!,"AAAAAH8g//4=")</f>
        <v>#REF!</v>
      </c>
      <c r="IV19" t="e">
        <f>AND(#REF!,"AAAAAH8g//8=")</f>
        <v>#REF!</v>
      </c>
    </row>
    <row r="20" spans="1:256">
      <c r="A20" t="e">
        <f>AND(#REF!,"AAAAAH97/gA=")</f>
        <v>#REF!</v>
      </c>
      <c r="B20" t="e">
        <f>AND(#REF!,"AAAAAH97/gE=")</f>
        <v>#REF!</v>
      </c>
      <c r="C20" t="e">
        <f>AND(#REF!,"AAAAAH97/gI=")</f>
        <v>#REF!</v>
      </c>
      <c r="D20" t="e">
        <f>AND(#REF!,"AAAAAH97/gM=")</f>
        <v>#REF!</v>
      </c>
      <c r="E20" t="e">
        <f>AND(#REF!,"AAAAAH97/gQ=")</f>
        <v>#REF!</v>
      </c>
      <c r="F20" t="e">
        <f>AND(#REF!,"AAAAAH97/gU=")</f>
        <v>#REF!</v>
      </c>
      <c r="G20" t="e">
        <f>AND(#REF!,"AAAAAH97/gY=")</f>
        <v>#REF!</v>
      </c>
      <c r="H20" t="e">
        <f>AND(#REF!,"AAAAAH97/gc=")</f>
        <v>#REF!</v>
      </c>
      <c r="I20" t="e">
        <f>AND(#REF!,"AAAAAH97/gg=")</f>
        <v>#REF!</v>
      </c>
      <c r="J20" t="e">
        <f>AND(#REF!,"AAAAAH97/gk=")</f>
        <v>#REF!</v>
      </c>
      <c r="K20" t="e">
        <f>AND(#REF!,"AAAAAH97/go=")</f>
        <v>#REF!</v>
      </c>
      <c r="L20" t="e">
        <f>AND(#REF!,"AAAAAH97/gs=")</f>
        <v>#REF!</v>
      </c>
      <c r="M20" t="e">
        <f>AND(#REF!,"AAAAAH97/gw=")</f>
        <v>#REF!</v>
      </c>
      <c r="N20" t="e">
        <f>AND(#REF!,"AAAAAH97/g0=")</f>
        <v>#REF!</v>
      </c>
      <c r="O20" t="e">
        <f>AND(#REF!,"AAAAAH97/g4=")</f>
        <v>#REF!</v>
      </c>
      <c r="P20" t="e">
        <f>AND(#REF!,"AAAAAH97/g8=")</f>
        <v>#REF!</v>
      </c>
      <c r="Q20" t="e">
        <f>IF(#REF!,"AAAAAH97/hA=",0)</f>
        <v>#REF!</v>
      </c>
      <c r="R20" t="e">
        <f>AND(#REF!,"AAAAAH97/hE=")</f>
        <v>#REF!</v>
      </c>
      <c r="S20" t="e">
        <f>AND(#REF!,"AAAAAH97/hI=")</f>
        <v>#REF!</v>
      </c>
      <c r="T20" t="e">
        <f>AND(#REF!,"AAAAAH97/hM=")</f>
        <v>#REF!</v>
      </c>
      <c r="U20" t="e">
        <f>AND(#REF!,"AAAAAH97/hQ=")</f>
        <v>#REF!</v>
      </c>
      <c r="V20" t="e">
        <f>AND(#REF!,"AAAAAH97/hU=")</f>
        <v>#REF!</v>
      </c>
      <c r="W20" t="e">
        <f>AND(#REF!,"AAAAAH97/hY=")</f>
        <v>#REF!</v>
      </c>
      <c r="X20" t="e">
        <f>AND(#REF!,"AAAAAH97/hc=")</f>
        <v>#REF!</v>
      </c>
      <c r="Y20" t="e">
        <f>AND(#REF!,"AAAAAH97/hg=")</f>
        <v>#REF!</v>
      </c>
      <c r="Z20" t="e">
        <f>AND(#REF!,"AAAAAH97/hk=")</f>
        <v>#REF!</v>
      </c>
      <c r="AA20" t="e">
        <f>AND(#REF!,"AAAAAH97/ho=")</f>
        <v>#REF!</v>
      </c>
      <c r="AB20" t="e">
        <f>AND(#REF!,"AAAAAH97/hs=")</f>
        <v>#REF!</v>
      </c>
      <c r="AC20" t="e">
        <f>AND(#REF!,"AAAAAH97/hw=")</f>
        <v>#REF!</v>
      </c>
      <c r="AD20" t="e">
        <f>AND(#REF!,"AAAAAH97/h0=")</f>
        <v>#REF!</v>
      </c>
      <c r="AE20" t="e">
        <f>AND(#REF!,"AAAAAH97/h4=")</f>
        <v>#REF!</v>
      </c>
      <c r="AF20" t="e">
        <f>AND(#REF!,"AAAAAH97/h8=")</f>
        <v>#REF!</v>
      </c>
      <c r="AG20" t="e">
        <f>AND(#REF!,"AAAAAH97/iA=")</f>
        <v>#REF!</v>
      </c>
      <c r="AH20" t="e">
        <f>AND(#REF!,"AAAAAH97/iE=")</f>
        <v>#REF!</v>
      </c>
      <c r="AI20" t="e">
        <f>AND(#REF!,"AAAAAH97/iI=")</f>
        <v>#REF!</v>
      </c>
      <c r="AJ20" t="e">
        <f>AND(#REF!,"AAAAAH97/iM=")</f>
        <v>#REF!</v>
      </c>
      <c r="AK20" t="e">
        <f>AND(#REF!,"AAAAAH97/iQ=")</f>
        <v>#REF!</v>
      </c>
      <c r="AL20" t="e">
        <f>IF(#REF!,"AAAAAH97/iU=",0)</f>
        <v>#REF!</v>
      </c>
      <c r="AM20" t="e">
        <f>AND(#REF!,"AAAAAH97/iY=")</f>
        <v>#REF!</v>
      </c>
      <c r="AN20" t="e">
        <f>AND(#REF!,"AAAAAH97/ic=")</f>
        <v>#REF!</v>
      </c>
      <c r="AO20" t="e">
        <f>AND(#REF!,"AAAAAH97/ig=")</f>
        <v>#REF!</v>
      </c>
      <c r="AP20" t="e">
        <f>AND(#REF!,"AAAAAH97/ik=")</f>
        <v>#REF!</v>
      </c>
      <c r="AQ20" t="e">
        <f>AND(#REF!,"AAAAAH97/io=")</f>
        <v>#REF!</v>
      </c>
      <c r="AR20" t="e">
        <f>AND(#REF!,"AAAAAH97/is=")</f>
        <v>#REF!</v>
      </c>
      <c r="AS20" t="e">
        <f>AND(#REF!,"AAAAAH97/iw=")</f>
        <v>#REF!</v>
      </c>
      <c r="AT20" t="e">
        <f>AND(#REF!,"AAAAAH97/i0=")</f>
        <v>#REF!</v>
      </c>
      <c r="AU20" t="e">
        <f>AND(#REF!,"AAAAAH97/i4=")</f>
        <v>#REF!</v>
      </c>
      <c r="AV20" t="e">
        <f>AND(#REF!,"AAAAAH97/i8=")</f>
        <v>#REF!</v>
      </c>
      <c r="AW20" t="e">
        <f>AND(#REF!,"AAAAAH97/jA=")</f>
        <v>#REF!</v>
      </c>
      <c r="AX20" t="e">
        <f>AND(#REF!,"AAAAAH97/jE=")</f>
        <v>#REF!</v>
      </c>
      <c r="AY20" t="e">
        <f>AND(#REF!,"AAAAAH97/jI=")</f>
        <v>#REF!</v>
      </c>
      <c r="AZ20" t="e">
        <f>AND(#REF!,"AAAAAH97/jM=")</f>
        <v>#REF!</v>
      </c>
      <c r="BA20" t="e">
        <f>AND(#REF!,"AAAAAH97/jQ=")</f>
        <v>#REF!</v>
      </c>
      <c r="BB20" t="e">
        <f>AND(#REF!,"AAAAAH97/jU=")</f>
        <v>#REF!</v>
      </c>
      <c r="BC20" t="e">
        <f>AND(#REF!,"AAAAAH97/jY=")</f>
        <v>#REF!</v>
      </c>
      <c r="BD20" t="e">
        <f>AND(#REF!,"AAAAAH97/jc=")</f>
        <v>#REF!</v>
      </c>
      <c r="BE20" t="e">
        <f>AND(#REF!,"AAAAAH97/jg=")</f>
        <v>#REF!</v>
      </c>
      <c r="BF20" t="e">
        <f>AND(#REF!,"AAAAAH97/jk=")</f>
        <v>#REF!</v>
      </c>
      <c r="BG20" t="e">
        <f>IF(#REF!,"AAAAAH97/jo=",0)</f>
        <v>#REF!</v>
      </c>
      <c r="BH20" t="e">
        <f>AND(#REF!,"AAAAAH97/js=")</f>
        <v>#REF!</v>
      </c>
      <c r="BI20" t="e">
        <f>AND(#REF!,"AAAAAH97/jw=")</f>
        <v>#REF!</v>
      </c>
      <c r="BJ20" t="e">
        <f>AND(#REF!,"AAAAAH97/j0=")</f>
        <v>#REF!</v>
      </c>
      <c r="BK20" t="e">
        <f>AND(#REF!,"AAAAAH97/j4=")</f>
        <v>#REF!</v>
      </c>
      <c r="BL20" t="e">
        <f>AND(#REF!,"AAAAAH97/j8=")</f>
        <v>#REF!</v>
      </c>
      <c r="BM20" t="e">
        <f>AND(#REF!,"AAAAAH97/kA=")</f>
        <v>#REF!</v>
      </c>
      <c r="BN20" t="e">
        <f>AND(#REF!,"AAAAAH97/kE=")</f>
        <v>#REF!</v>
      </c>
      <c r="BO20" t="e">
        <f>AND(#REF!,"AAAAAH97/kI=")</f>
        <v>#REF!</v>
      </c>
      <c r="BP20" t="e">
        <f>AND(#REF!,"AAAAAH97/kM=")</f>
        <v>#REF!</v>
      </c>
      <c r="BQ20" t="e">
        <f>AND(#REF!,"AAAAAH97/kQ=")</f>
        <v>#REF!</v>
      </c>
      <c r="BR20" t="e">
        <f>AND(#REF!,"AAAAAH97/kU=")</f>
        <v>#REF!</v>
      </c>
      <c r="BS20" t="e">
        <f>AND(#REF!,"AAAAAH97/kY=")</f>
        <v>#REF!</v>
      </c>
      <c r="BT20" t="e">
        <f>AND(#REF!,"AAAAAH97/kc=")</f>
        <v>#REF!</v>
      </c>
      <c r="BU20" t="e">
        <f>AND(#REF!,"AAAAAH97/kg=")</f>
        <v>#REF!</v>
      </c>
      <c r="BV20" t="e">
        <f>AND(#REF!,"AAAAAH97/kk=")</f>
        <v>#REF!</v>
      </c>
      <c r="BW20" t="e">
        <f>AND(#REF!,"AAAAAH97/ko=")</f>
        <v>#REF!</v>
      </c>
      <c r="BX20" t="e">
        <f>AND(#REF!,"AAAAAH97/ks=")</f>
        <v>#REF!</v>
      </c>
      <c r="BY20" t="e">
        <f>AND(#REF!,"AAAAAH97/kw=")</f>
        <v>#REF!</v>
      </c>
      <c r="BZ20" t="e">
        <f>AND(#REF!,"AAAAAH97/k0=")</f>
        <v>#REF!</v>
      </c>
      <c r="CA20" t="e">
        <f>AND(#REF!,"AAAAAH97/k4=")</f>
        <v>#REF!</v>
      </c>
      <c r="CB20" t="e">
        <f>IF(#REF!,"AAAAAH97/k8=",0)</f>
        <v>#REF!</v>
      </c>
      <c r="CC20" t="e">
        <f>AND(#REF!,"AAAAAH97/lA=")</f>
        <v>#REF!</v>
      </c>
      <c r="CD20" t="e">
        <f>AND(#REF!,"AAAAAH97/lE=")</f>
        <v>#REF!</v>
      </c>
      <c r="CE20" t="e">
        <f>AND(#REF!,"AAAAAH97/lI=")</f>
        <v>#REF!</v>
      </c>
      <c r="CF20" t="e">
        <f>AND(#REF!,"AAAAAH97/lM=")</f>
        <v>#REF!</v>
      </c>
      <c r="CG20" t="e">
        <f>AND(#REF!,"AAAAAH97/lQ=")</f>
        <v>#REF!</v>
      </c>
      <c r="CH20" t="e">
        <f>AND(#REF!,"AAAAAH97/lU=")</f>
        <v>#REF!</v>
      </c>
      <c r="CI20" t="e">
        <f>AND(#REF!,"AAAAAH97/lY=")</f>
        <v>#REF!</v>
      </c>
      <c r="CJ20" t="e">
        <f>AND(#REF!,"AAAAAH97/lc=")</f>
        <v>#REF!</v>
      </c>
      <c r="CK20" t="e">
        <f>AND(#REF!,"AAAAAH97/lg=")</f>
        <v>#REF!</v>
      </c>
      <c r="CL20" t="e">
        <f>AND(#REF!,"AAAAAH97/lk=")</f>
        <v>#REF!</v>
      </c>
      <c r="CM20" t="e">
        <f>AND(#REF!,"AAAAAH97/lo=")</f>
        <v>#REF!</v>
      </c>
      <c r="CN20" t="e">
        <f>AND(#REF!,"AAAAAH97/ls=")</f>
        <v>#REF!</v>
      </c>
      <c r="CO20" t="e">
        <f>AND(#REF!,"AAAAAH97/lw=")</f>
        <v>#REF!</v>
      </c>
      <c r="CP20" t="e">
        <f>AND(#REF!,"AAAAAH97/l0=")</f>
        <v>#REF!</v>
      </c>
      <c r="CQ20" t="e">
        <f>AND(#REF!,"AAAAAH97/l4=")</f>
        <v>#REF!</v>
      </c>
      <c r="CR20" t="e">
        <f>AND(#REF!,"AAAAAH97/l8=")</f>
        <v>#REF!</v>
      </c>
      <c r="CS20" t="e">
        <f>AND(#REF!,"AAAAAH97/mA=")</f>
        <v>#REF!</v>
      </c>
      <c r="CT20" t="e">
        <f>AND(#REF!,"AAAAAH97/mE=")</f>
        <v>#REF!</v>
      </c>
      <c r="CU20" t="e">
        <f>AND(#REF!,"AAAAAH97/mI=")</f>
        <v>#REF!</v>
      </c>
      <c r="CV20" t="e">
        <f>AND(#REF!,"AAAAAH97/mM=")</f>
        <v>#REF!</v>
      </c>
      <c r="CW20" t="e">
        <f>IF(#REF!,"AAAAAH97/mQ=",0)</f>
        <v>#REF!</v>
      </c>
      <c r="CX20" t="e">
        <f>AND(#REF!,"AAAAAH97/mU=")</f>
        <v>#REF!</v>
      </c>
      <c r="CY20" t="e">
        <f>AND(#REF!,"AAAAAH97/mY=")</f>
        <v>#REF!</v>
      </c>
      <c r="CZ20" t="e">
        <f>AND(#REF!,"AAAAAH97/mc=")</f>
        <v>#REF!</v>
      </c>
      <c r="DA20" t="e">
        <f>AND(#REF!,"AAAAAH97/mg=")</f>
        <v>#REF!</v>
      </c>
      <c r="DB20" t="e">
        <f>AND(#REF!,"AAAAAH97/mk=")</f>
        <v>#REF!</v>
      </c>
      <c r="DC20" t="e">
        <f>AND(#REF!,"AAAAAH97/mo=")</f>
        <v>#REF!</v>
      </c>
      <c r="DD20" t="e">
        <f>AND(#REF!,"AAAAAH97/ms=")</f>
        <v>#REF!</v>
      </c>
      <c r="DE20" t="e">
        <f>AND(#REF!,"AAAAAH97/mw=")</f>
        <v>#REF!</v>
      </c>
      <c r="DF20" t="e">
        <f>AND(#REF!,"AAAAAH97/m0=")</f>
        <v>#REF!</v>
      </c>
      <c r="DG20" t="e">
        <f>AND(#REF!,"AAAAAH97/m4=")</f>
        <v>#REF!</v>
      </c>
      <c r="DH20" t="e">
        <f>AND(#REF!,"AAAAAH97/m8=")</f>
        <v>#REF!</v>
      </c>
      <c r="DI20" t="e">
        <f>AND(#REF!,"AAAAAH97/nA=")</f>
        <v>#REF!</v>
      </c>
      <c r="DJ20" t="e">
        <f>AND(#REF!,"AAAAAH97/nE=")</f>
        <v>#REF!</v>
      </c>
      <c r="DK20" t="e">
        <f>AND(#REF!,"AAAAAH97/nI=")</f>
        <v>#REF!</v>
      </c>
      <c r="DL20" t="e">
        <f>AND(#REF!,"AAAAAH97/nM=")</f>
        <v>#REF!</v>
      </c>
      <c r="DM20" t="e">
        <f>AND(#REF!,"AAAAAH97/nQ=")</f>
        <v>#REF!</v>
      </c>
      <c r="DN20" t="e">
        <f>AND(#REF!,"AAAAAH97/nU=")</f>
        <v>#REF!</v>
      </c>
      <c r="DO20" t="e">
        <f>AND(#REF!,"AAAAAH97/nY=")</f>
        <v>#REF!</v>
      </c>
      <c r="DP20" t="e">
        <f>AND(#REF!,"AAAAAH97/nc=")</f>
        <v>#REF!</v>
      </c>
      <c r="DQ20" t="e">
        <f>AND(#REF!,"AAAAAH97/ng=")</f>
        <v>#REF!</v>
      </c>
      <c r="DR20" t="e">
        <f>IF(#REF!,"AAAAAH97/nk=",0)</f>
        <v>#REF!</v>
      </c>
      <c r="DS20" t="e">
        <f>AND(#REF!,"AAAAAH97/no=")</f>
        <v>#REF!</v>
      </c>
      <c r="DT20" t="e">
        <f>AND(#REF!,"AAAAAH97/ns=")</f>
        <v>#REF!</v>
      </c>
      <c r="DU20" t="e">
        <f>AND(#REF!,"AAAAAH97/nw=")</f>
        <v>#REF!</v>
      </c>
      <c r="DV20" t="e">
        <f>AND(#REF!,"AAAAAH97/n0=")</f>
        <v>#REF!</v>
      </c>
      <c r="DW20" t="e">
        <f>AND(#REF!,"AAAAAH97/n4=")</f>
        <v>#REF!</v>
      </c>
      <c r="DX20" t="e">
        <f>AND(#REF!,"AAAAAH97/n8=")</f>
        <v>#REF!</v>
      </c>
      <c r="DY20" t="e">
        <f>AND(#REF!,"AAAAAH97/oA=")</f>
        <v>#REF!</v>
      </c>
      <c r="DZ20" t="e">
        <f>AND(#REF!,"AAAAAH97/oE=")</f>
        <v>#REF!</v>
      </c>
      <c r="EA20" t="e">
        <f>AND(#REF!,"AAAAAH97/oI=")</f>
        <v>#REF!</v>
      </c>
      <c r="EB20" t="e">
        <f>AND(#REF!,"AAAAAH97/oM=")</f>
        <v>#REF!</v>
      </c>
      <c r="EC20" t="e">
        <f>AND(#REF!,"AAAAAH97/oQ=")</f>
        <v>#REF!</v>
      </c>
      <c r="ED20" t="e">
        <f>AND(#REF!,"AAAAAH97/oU=")</f>
        <v>#REF!</v>
      </c>
      <c r="EE20" t="e">
        <f>AND(#REF!,"AAAAAH97/oY=")</f>
        <v>#REF!</v>
      </c>
      <c r="EF20" t="e">
        <f>AND(#REF!,"AAAAAH97/oc=")</f>
        <v>#REF!</v>
      </c>
      <c r="EG20" t="e">
        <f>AND(#REF!,"AAAAAH97/og=")</f>
        <v>#REF!</v>
      </c>
      <c r="EH20" t="e">
        <f>AND(#REF!,"AAAAAH97/ok=")</f>
        <v>#REF!</v>
      </c>
      <c r="EI20" t="e">
        <f>AND(#REF!,"AAAAAH97/oo=")</f>
        <v>#REF!</v>
      </c>
      <c r="EJ20" t="e">
        <f>AND(#REF!,"AAAAAH97/os=")</f>
        <v>#REF!</v>
      </c>
      <c r="EK20" t="e">
        <f>AND(#REF!,"AAAAAH97/ow=")</f>
        <v>#REF!</v>
      </c>
      <c r="EL20" t="e">
        <f>AND(#REF!,"AAAAAH97/o0=")</f>
        <v>#REF!</v>
      </c>
      <c r="EM20" t="e">
        <f>IF(#REF!,"AAAAAH97/o4=",0)</f>
        <v>#REF!</v>
      </c>
      <c r="EN20" t="e">
        <f>AND(#REF!,"AAAAAH97/o8=")</f>
        <v>#REF!</v>
      </c>
      <c r="EO20" t="e">
        <f>AND(#REF!,"AAAAAH97/pA=")</f>
        <v>#REF!</v>
      </c>
      <c r="EP20" t="e">
        <f>AND(#REF!,"AAAAAH97/pE=")</f>
        <v>#REF!</v>
      </c>
      <c r="EQ20" t="e">
        <f>AND(#REF!,"AAAAAH97/pI=")</f>
        <v>#REF!</v>
      </c>
      <c r="ER20" t="e">
        <f>AND(#REF!,"AAAAAH97/pM=")</f>
        <v>#REF!</v>
      </c>
      <c r="ES20" t="e">
        <f>AND(#REF!,"AAAAAH97/pQ=")</f>
        <v>#REF!</v>
      </c>
      <c r="ET20" t="e">
        <f>AND(#REF!,"AAAAAH97/pU=")</f>
        <v>#REF!</v>
      </c>
      <c r="EU20" t="e">
        <f>AND(#REF!,"AAAAAH97/pY=")</f>
        <v>#REF!</v>
      </c>
      <c r="EV20" t="e">
        <f>AND(#REF!,"AAAAAH97/pc=")</f>
        <v>#REF!</v>
      </c>
      <c r="EW20" t="e">
        <f>AND(#REF!,"AAAAAH97/pg=")</f>
        <v>#REF!</v>
      </c>
      <c r="EX20" t="e">
        <f>AND(#REF!,"AAAAAH97/pk=")</f>
        <v>#REF!</v>
      </c>
      <c r="EY20" t="e">
        <f>AND(#REF!,"AAAAAH97/po=")</f>
        <v>#REF!</v>
      </c>
      <c r="EZ20" t="e">
        <f>AND(#REF!,"AAAAAH97/ps=")</f>
        <v>#REF!</v>
      </c>
      <c r="FA20" t="e">
        <f>AND(#REF!,"AAAAAH97/pw=")</f>
        <v>#REF!</v>
      </c>
      <c r="FB20" t="e">
        <f>AND(#REF!,"AAAAAH97/p0=")</f>
        <v>#REF!</v>
      </c>
      <c r="FC20" t="e">
        <f>AND(#REF!,"AAAAAH97/p4=")</f>
        <v>#REF!</v>
      </c>
      <c r="FD20" t="e">
        <f>AND(#REF!,"AAAAAH97/p8=")</f>
        <v>#REF!</v>
      </c>
      <c r="FE20" t="e">
        <f>AND(#REF!,"AAAAAH97/qA=")</f>
        <v>#REF!</v>
      </c>
      <c r="FF20" t="e">
        <f>AND(#REF!,"AAAAAH97/qE=")</f>
        <v>#REF!</v>
      </c>
      <c r="FG20" t="e">
        <f>AND(#REF!,"AAAAAH97/qI=")</f>
        <v>#REF!</v>
      </c>
      <c r="FH20" t="e">
        <f>IF(#REF!,"AAAAAH97/qM=",0)</f>
        <v>#REF!</v>
      </c>
      <c r="FI20" t="e">
        <f>AND(#REF!,"AAAAAH97/qQ=")</f>
        <v>#REF!</v>
      </c>
      <c r="FJ20" t="e">
        <f>AND(#REF!,"AAAAAH97/qU=")</f>
        <v>#REF!</v>
      </c>
      <c r="FK20" t="e">
        <f>AND(#REF!,"AAAAAH97/qY=")</f>
        <v>#REF!</v>
      </c>
      <c r="FL20" t="e">
        <f>AND(#REF!,"AAAAAH97/qc=")</f>
        <v>#REF!</v>
      </c>
      <c r="FM20" t="e">
        <f>AND(#REF!,"AAAAAH97/qg=")</f>
        <v>#REF!</v>
      </c>
      <c r="FN20" t="e">
        <f>AND(#REF!,"AAAAAH97/qk=")</f>
        <v>#REF!</v>
      </c>
      <c r="FO20" t="e">
        <f>AND(#REF!,"AAAAAH97/qo=")</f>
        <v>#REF!</v>
      </c>
      <c r="FP20" t="e">
        <f>AND(#REF!,"AAAAAH97/qs=")</f>
        <v>#REF!</v>
      </c>
      <c r="FQ20" t="e">
        <f>AND(#REF!,"AAAAAH97/qw=")</f>
        <v>#REF!</v>
      </c>
      <c r="FR20" t="e">
        <f>AND(#REF!,"AAAAAH97/q0=")</f>
        <v>#REF!</v>
      </c>
      <c r="FS20" t="e">
        <f>AND(#REF!,"AAAAAH97/q4=")</f>
        <v>#REF!</v>
      </c>
      <c r="FT20" t="e">
        <f>AND(#REF!,"AAAAAH97/q8=")</f>
        <v>#REF!</v>
      </c>
      <c r="FU20" t="e">
        <f>AND(#REF!,"AAAAAH97/rA=")</f>
        <v>#REF!</v>
      </c>
      <c r="FV20" t="e">
        <f>AND(#REF!,"AAAAAH97/rE=")</f>
        <v>#REF!</v>
      </c>
      <c r="FW20" t="e">
        <f>AND(#REF!,"AAAAAH97/rI=")</f>
        <v>#REF!</v>
      </c>
      <c r="FX20" t="e">
        <f>AND(#REF!,"AAAAAH97/rM=")</f>
        <v>#REF!</v>
      </c>
      <c r="FY20" t="e">
        <f>AND(#REF!,"AAAAAH97/rQ=")</f>
        <v>#REF!</v>
      </c>
      <c r="FZ20" t="e">
        <f>AND(#REF!,"AAAAAH97/rU=")</f>
        <v>#REF!</v>
      </c>
      <c r="GA20" t="e">
        <f>AND(#REF!,"AAAAAH97/rY=")</f>
        <v>#REF!</v>
      </c>
      <c r="GB20" t="e">
        <f>AND(#REF!,"AAAAAH97/rc=")</f>
        <v>#REF!</v>
      </c>
      <c r="GC20" t="e">
        <f>IF(#REF!,"AAAAAH97/rg=",0)</f>
        <v>#REF!</v>
      </c>
      <c r="GD20" t="e">
        <f>AND(#REF!,"AAAAAH97/rk=")</f>
        <v>#REF!</v>
      </c>
      <c r="GE20" t="e">
        <f>AND(#REF!,"AAAAAH97/ro=")</f>
        <v>#REF!</v>
      </c>
      <c r="GF20" t="e">
        <f>AND(#REF!,"AAAAAH97/rs=")</f>
        <v>#REF!</v>
      </c>
      <c r="GG20" t="e">
        <f>AND(#REF!,"AAAAAH97/rw=")</f>
        <v>#REF!</v>
      </c>
      <c r="GH20" t="e">
        <f>AND(#REF!,"AAAAAH97/r0=")</f>
        <v>#REF!</v>
      </c>
      <c r="GI20" t="e">
        <f>AND(#REF!,"AAAAAH97/r4=")</f>
        <v>#REF!</v>
      </c>
      <c r="GJ20" t="e">
        <f>AND(#REF!,"AAAAAH97/r8=")</f>
        <v>#REF!</v>
      </c>
      <c r="GK20" t="e">
        <f>AND(#REF!,"AAAAAH97/sA=")</f>
        <v>#REF!</v>
      </c>
      <c r="GL20" t="e">
        <f>AND(#REF!,"AAAAAH97/sE=")</f>
        <v>#REF!</v>
      </c>
      <c r="GM20" t="e">
        <f>AND(#REF!,"AAAAAH97/sI=")</f>
        <v>#REF!</v>
      </c>
      <c r="GN20" t="e">
        <f>AND(#REF!,"AAAAAH97/sM=")</f>
        <v>#REF!</v>
      </c>
      <c r="GO20" t="e">
        <f>AND(#REF!,"AAAAAH97/sQ=")</f>
        <v>#REF!</v>
      </c>
      <c r="GP20" t="e">
        <f>AND(#REF!,"AAAAAH97/sU=")</f>
        <v>#REF!</v>
      </c>
      <c r="GQ20" t="e">
        <f>AND(#REF!,"AAAAAH97/sY=")</f>
        <v>#REF!</v>
      </c>
      <c r="GR20" t="e">
        <f>AND(#REF!,"AAAAAH97/sc=")</f>
        <v>#REF!</v>
      </c>
      <c r="GS20" t="e">
        <f>AND(#REF!,"AAAAAH97/sg=")</f>
        <v>#REF!</v>
      </c>
      <c r="GT20" t="e">
        <f>AND(#REF!,"AAAAAH97/sk=")</f>
        <v>#REF!</v>
      </c>
      <c r="GU20" t="e">
        <f>AND(#REF!,"AAAAAH97/so=")</f>
        <v>#REF!</v>
      </c>
      <c r="GV20" t="e">
        <f>AND(#REF!,"AAAAAH97/ss=")</f>
        <v>#REF!</v>
      </c>
      <c r="GW20" t="e">
        <f>AND(#REF!,"AAAAAH97/sw=")</f>
        <v>#REF!</v>
      </c>
      <c r="GX20" t="e">
        <f>IF(#REF!,"AAAAAH97/s0=",0)</f>
        <v>#REF!</v>
      </c>
      <c r="GY20" t="e">
        <f>AND(#REF!,"AAAAAH97/s4=")</f>
        <v>#REF!</v>
      </c>
      <c r="GZ20" t="e">
        <f>AND(#REF!,"AAAAAH97/s8=")</f>
        <v>#REF!</v>
      </c>
      <c r="HA20" t="e">
        <f>AND(#REF!,"AAAAAH97/tA=")</f>
        <v>#REF!</v>
      </c>
      <c r="HB20" t="e">
        <f>AND(#REF!,"AAAAAH97/tE=")</f>
        <v>#REF!</v>
      </c>
      <c r="HC20" t="e">
        <f>AND(#REF!,"AAAAAH97/tI=")</f>
        <v>#REF!</v>
      </c>
      <c r="HD20" t="e">
        <f>AND(#REF!,"AAAAAH97/tM=")</f>
        <v>#REF!</v>
      </c>
      <c r="HE20" t="e">
        <f>AND(#REF!,"AAAAAH97/tQ=")</f>
        <v>#REF!</v>
      </c>
      <c r="HF20" t="e">
        <f>AND(#REF!,"AAAAAH97/tU=")</f>
        <v>#REF!</v>
      </c>
      <c r="HG20" t="e">
        <f>AND(#REF!,"AAAAAH97/tY=")</f>
        <v>#REF!</v>
      </c>
      <c r="HH20" t="e">
        <f>AND(#REF!,"AAAAAH97/tc=")</f>
        <v>#REF!</v>
      </c>
      <c r="HI20" t="e">
        <f>AND(#REF!,"AAAAAH97/tg=")</f>
        <v>#REF!</v>
      </c>
      <c r="HJ20" t="e">
        <f>AND(#REF!,"AAAAAH97/tk=")</f>
        <v>#REF!</v>
      </c>
      <c r="HK20" t="e">
        <f>AND(#REF!,"AAAAAH97/to=")</f>
        <v>#REF!</v>
      </c>
      <c r="HL20" t="e">
        <f>AND(#REF!,"AAAAAH97/ts=")</f>
        <v>#REF!</v>
      </c>
      <c r="HM20" t="e">
        <f>AND(#REF!,"AAAAAH97/tw=")</f>
        <v>#REF!</v>
      </c>
      <c r="HN20" t="e">
        <f>AND(#REF!,"AAAAAH97/t0=")</f>
        <v>#REF!</v>
      </c>
      <c r="HO20" t="e">
        <f>AND(#REF!,"AAAAAH97/t4=")</f>
        <v>#REF!</v>
      </c>
      <c r="HP20" t="e">
        <f>AND(#REF!,"AAAAAH97/t8=")</f>
        <v>#REF!</v>
      </c>
      <c r="HQ20" t="e">
        <f>AND(#REF!,"AAAAAH97/uA=")</f>
        <v>#REF!</v>
      </c>
      <c r="HR20" t="e">
        <f>AND(#REF!,"AAAAAH97/uE=")</f>
        <v>#REF!</v>
      </c>
      <c r="HS20" t="e">
        <f>IF(#REF!,"AAAAAH97/uI=",0)</f>
        <v>#REF!</v>
      </c>
      <c r="HT20" t="e">
        <f>AND(#REF!,"AAAAAH97/uM=")</f>
        <v>#REF!</v>
      </c>
      <c r="HU20" t="e">
        <f>AND(#REF!,"AAAAAH97/uQ=")</f>
        <v>#REF!</v>
      </c>
      <c r="HV20" t="e">
        <f>AND(#REF!,"AAAAAH97/uU=")</f>
        <v>#REF!</v>
      </c>
      <c r="HW20" t="e">
        <f>AND(#REF!,"AAAAAH97/uY=")</f>
        <v>#REF!</v>
      </c>
      <c r="HX20" t="e">
        <f>AND(#REF!,"AAAAAH97/uc=")</f>
        <v>#REF!</v>
      </c>
      <c r="HY20" t="e">
        <f>AND(#REF!,"AAAAAH97/ug=")</f>
        <v>#REF!</v>
      </c>
      <c r="HZ20" t="e">
        <f>AND(#REF!,"AAAAAH97/uk=")</f>
        <v>#REF!</v>
      </c>
      <c r="IA20" t="e">
        <f>AND(#REF!,"AAAAAH97/uo=")</f>
        <v>#REF!</v>
      </c>
      <c r="IB20" t="e">
        <f>AND(#REF!,"AAAAAH97/us=")</f>
        <v>#REF!</v>
      </c>
      <c r="IC20" t="e">
        <f>AND(#REF!,"AAAAAH97/uw=")</f>
        <v>#REF!</v>
      </c>
      <c r="ID20" t="e">
        <f>AND(#REF!,"AAAAAH97/u0=")</f>
        <v>#REF!</v>
      </c>
      <c r="IE20" t="e">
        <f>AND(#REF!,"AAAAAH97/u4=")</f>
        <v>#REF!</v>
      </c>
      <c r="IF20" t="e">
        <f>AND(#REF!,"AAAAAH97/u8=")</f>
        <v>#REF!</v>
      </c>
      <c r="IG20" t="e">
        <f>AND(#REF!,"AAAAAH97/vA=")</f>
        <v>#REF!</v>
      </c>
      <c r="IH20" t="e">
        <f>AND(#REF!,"AAAAAH97/vE=")</f>
        <v>#REF!</v>
      </c>
      <c r="II20" t="e">
        <f>AND(#REF!,"AAAAAH97/vI=")</f>
        <v>#REF!</v>
      </c>
      <c r="IJ20" t="e">
        <f>AND(#REF!,"AAAAAH97/vM=")</f>
        <v>#REF!</v>
      </c>
      <c r="IK20" t="e">
        <f>AND(#REF!,"AAAAAH97/vQ=")</f>
        <v>#REF!</v>
      </c>
      <c r="IL20" t="e">
        <f>AND(#REF!,"AAAAAH97/vU=")</f>
        <v>#REF!</v>
      </c>
      <c r="IM20" t="e">
        <f>AND(#REF!,"AAAAAH97/vY=")</f>
        <v>#REF!</v>
      </c>
      <c r="IN20" t="e">
        <f>IF(#REF!,"AAAAAH97/vc=",0)</f>
        <v>#REF!</v>
      </c>
      <c r="IO20" t="e">
        <f>AND(#REF!,"AAAAAH97/vg=")</f>
        <v>#REF!</v>
      </c>
      <c r="IP20" t="e">
        <f>AND(#REF!,"AAAAAH97/vk=")</f>
        <v>#REF!</v>
      </c>
      <c r="IQ20" t="e">
        <f>AND(#REF!,"AAAAAH97/vo=")</f>
        <v>#REF!</v>
      </c>
      <c r="IR20" t="e">
        <f>AND(#REF!,"AAAAAH97/vs=")</f>
        <v>#REF!</v>
      </c>
      <c r="IS20" t="e">
        <f>AND(#REF!,"AAAAAH97/vw=")</f>
        <v>#REF!</v>
      </c>
      <c r="IT20" t="e">
        <f>AND(#REF!,"AAAAAH97/v0=")</f>
        <v>#REF!</v>
      </c>
      <c r="IU20" t="e">
        <f>AND(#REF!,"AAAAAH97/v4=")</f>
        <v>#REF!</v>
      </c>
      <c r="IV20" t="e">
        <f>AND(#REF!,"AAAAAH97/v8=")</f>
        <v>#REF!</v>
      </c>
    </row>
    <row r="21" spans="1:256">
      <c r="A21" t="e">
        <f>AND(#REF!,"AAAAAHn79QA=")</f>
        <v>#REF!</v>
      </c>
      <c r="B21" t="e">
        <f>AND(#REF!,"AAAAAHn79QE=")</f>
        <v>#REF!</v>
      </c>
      <c r="C21" t="e">
        <f>AND(#REF!,"AAAAAHn79QI=")</f>
        <v>#REF!</v>
      </c>
      <c r="D21" t="e">
        <f>AND(#REF!,"AAAAAHn79QM=")</f>
        <v>#REF!</v>
      </c>
      <c r="E21" t="e">
        <f>AND(#REF!,"AAAAAHn79QQ=")</f>
        <v>#REF!</v>
      </c>
      <c r="F21" t="e">
        <f>AND(#REF!,"AAAAAHn79QU=")</f>
        <v>#REF!</v>
      </c>
      <c r="G21" t="e">
        <f>AND(#REF!,"AAAAAHn79QY=")</f>
        <v>#REF!</v>
      </c>
      <c r="H21" t="e">
        <f>AND(#REF!,"AAAAAHn79Qc=")</f>
        <v>#REF!</v>
      </c>
      <c r="I21" t="e">
        <f>AND(#REF!,"AAAAAHn79Qg=")</f>
        <v>#REF!</v>
      </c>
      <c r="J21" t="e">
        <f>AND(#REF!,"AAAAAHn79Qk=")</f>
        <v>#REF!</v>
      </c>
      <c r="K21" t="e">
        <f>AND(#REF!,"AAAAAHn79Qo=")</f>
        <v>#REF!</v>
      </c>
      <c r="L21" t="e">
        <f>AND(#REF!,"AAAAAHn79Qs=")</f>
        <v>#REF!</v>
      </c>
      <c r="M21" t="e">
        <f>IF(#REF!,"AAAAAHn79Qw=",0)</f>
        <v>#REF!</v>
      </c>
      <c r="N21" t="e">
        <f>AND(#REF!,"AAAAAHn79Q0=")</f>
        <v>#REF!</v>
      </c>
      <c r="O21" t="e">
        <f>AND(#REF!,"AAAAAHn79Q4=")</f>
        <v>#REF!</v>
      </c>
      <c r="P21" t="e">
        <f>AND(#REF!,"AAAAAHn79Q8=")</f>
        <v>#REF!</v>
      </c>
      <c r="Q21" t="e">
        <f>AND(#REF!,"AAAAAHn79RA=")</f>
        <v>#REF!</v>
      </c>
      <c r="R21" t="e">
        <f>AND(#REF!,"AAAAAHn79RE=")</f>
        <v>#REF!</v>
      </c>
      <c r="S21" t="e">
        <f>AND(#REF!,"AAAAAHn79RI=")</f>
        <v>#REF!</v>
      </c>
      <c r="T21" t="e">
        <f>AND(#REF!,"AAAAAHn79RM=")</f>
        <v>#REF!</v>
      </c>
      <c r="U21" t="e">
        <f>AND(#REF!,"AAAAAHn79RQ=")</f>
        <v>#REF!</v>
      </c>
      <c r="V21" t="e">
        <f>AND(#REF!,"AAAAAHn79RU=")</f>
        <v>#REF!</v>
      </c>
      <c r="W21" t="e">
        <f>AND(#REF!,"AAAAAHn79RY=")</f>
        <v>#REF!</v>
      </c>
      <c r="X21" t="e">
        <f>AND(#REF!,"AAAAAHn79Rc=")</f>
        <v>#REF!</v>
      </c>
      <c r="Y21" t="e">
        <f>AND(#REF!,"AAAAAHn79Rg=")</f>
        <v>#REF!</v>
      </c>
      <c r="Z21" t="e">
        <f>AND(#REF!,"AAAAAHn79Rk=")</f>
        <v>#REF!</v>
      </c>
      <c r="AA21" t="e">
        <f>AND(#REF!,"AAAAAHn79Ro=")</f>
        <v>#REF!</v>
      </c>
      <c r="AB21" t="e">
        <f>AND(#REF!,"AAAAAHn79Rs=")</f>
        <v>#REF!</v>
      </c>
      <c r="AC21" t="e">
        <f>AND(#REF!,"AAAAAHn79Rw=")</f>
        <v>#REF!</v>
      </c>
      <c r="AD21" t="e">
        <f>AND(#REF!,"AAAAAHn79R0=")</f>
        <v>#REF!</v>
      </c>
      <c r="AE21" t="e">
        <f>AND(#REF!,"AAAAAHn79R4=")</f>
        <v>#REF!</v>
      </c>
      <c r="AF21" t="e">
        <f>AND(#REF!,"AAAAAHn79R8=")</f>
        <v>#REF!</v>
      </c>
      <c r="AG21" t="e">
        <f>AND(#REF!,"AAAAAHn79SA=")</f>
        <v>#REF!</v>
      </c>
      <c r="AH21" t="e">
        <f>IF(#REF!,"AAAAAHn79SE=",0)</f>
        <v>#REF!</v>
      </c>
      <c r="AI21" t="e">
        <f>AND(#REF!,"AAAAAHn79SI=")</f>
        <v>#REF!</v>
      </c>
      <c r="AJ21" t="e">
        <f>AND(#REF!,"AAAAAHn79SM=")</f>
        <v>#REF!</v>
      </c>
      <c r="AK21" t="e">
        <f>AND(#REF!,"AAAAAHn79SQ=")</f>
        <v>#REF!</v>
      </c>
      <c r="AL21" t="e">
        <f>AND(#REF!,"AAAAAHn79SU=")</f>
        <v>#REF!</v>
      </c>
      <c r="AM21" t="e">
        <f>AND(#REF!,"AAAAAHn79SY=")</f>
        <v>#REF!</v>
      </c>
      <c r="AN21" t="e">
        <f>AND(#REF!,"AAAAAHn79Sc=")</f>
        <v>#REF!</v>
      </c>
      <c r="AO21" t="e">
        <f>AND(#REF!,"AAAAAHn79Sg=")</f>
        <v>#REF!</v>
      </c>
      <c r="AP21" t="e">
        <f>AND(#REF!,"AAAAAHn79Sk=")</f>
        <v>#REF!</v>
      </c>
      <c r="AQ21" t="e">
        <f>AND(#REF!,"AAAAAHn79So=")</f>
        <v>#REF!</v>
      </c>
      <c r="AR21" t="e">
        <f>AND(#REF!,"AAAAAHn79Ss=")</f>
        <v>#REF!</v>
      </c>
      <c r="AS21" t="e">
        <f>AND(#REF!,"AAAAAHn79Sw=")</f>
        <v>#REF!</v>
      </c>
      <c r="AT21" t="e">
        <f>AND(#REF!,"AAAAAHn79S0=")</f>
        <v>#REF!</v>
      </c>
      <c r="AU21" t="e">
        <f>AND(#REF!,"AAAAAHn79S4=")</f>
        <v>#REF!</v>
      </c>
      <c r="AV21" t="e">
        <f>AND(#REF!,"AAAAAHn79S8=")</f>
        <v>#REF!</v>
      </c>
      <c r="AW21" t="e">
        <f>AND(#REF!,"AAAAAHn79TA=")</f>
        <v>#REF!</v>
      </c>
      <c r="AX21" t="e">
        <f>AND(#REF!,"AAAAAHn79TE=")</f>
        <v>#REF!</v>
      </c>
      <c r="AY21" t="e">
        <f>AND(#REF!,"AAAAAHn79TI=")</f>
        <v>#REF!</v>
      </c>
      <c r="AZ21" t="e">
        <f>AND(#REF!,"AAAAAHn79TM=")</f>
        <v>#REF!</v>
      </c>
      <c r="BA21" t="e">
        <f>AND(#REF!,"AAAAAHn79TQ=")</f>
        <v>#REF!</v>
      </c>
      <c r="BB21" t="e">
        <f>AND(#REF!,"AAAAAHn79TU=")</f>
        <v>#REF!</v>
      </c>
      <c r="BC21" t="e">
        <f>IF(#REF!,"AAAAAHn79TY=",0)</f>
        <v>#REF!</v>
      </c>
      <c r="BD21" t="e">
        <f>AND(#REF!,"AAAAAHn79Tc=")</f>
        <v>#REF!</v>
      </c>
      <c r="BE21" t="e">
        <f>AND(#REF!,"AAAAAHn79Tg=")</f>
        <v>#REF!</v>
      </c>
      <c r="BF21" t="e">
        <f>AND(#REF!,"AAAAAHn79Tk=")</f>
        <v>#REF!</v>
      </c>
      <c r="BG21" t="e">
        <f>AND(#REF!,"AAAAAHn79To=")</f>
        <v>#REF!</v>
      </c>
      <c r="BH21" t="e">
        <f>AND(#REF!,"AAAAAHn79Ts=")</f>
        <v>#REF!</v>
      </c>
      <c r="BI21" t="e">
        <f>AND(#REF!,"AAAAAHn79Tw=")</f>
        <v>#REF!</v>
      </c>
      <c r="BJ21" t="e">
        <f>AND(#REF!,"AAAAAHn79T0=")</f>
        <v>#REF!</v>
      </c>
      <c r="BK21" t="e">
        <f>AND(#REF!,"AAAAAHn79T4=")</f>
        <v>#REF!</v>
      </c>
      <c r="BL21" t="e">
        <f>AND(#REF!,"AAAAAHn79T8=")</f>
        <v>#REF!</v>
      </c>
      <c r="BM21" t="e">
        <f>AND(#REF!,"AAAAAHn79UA=")</f>
        <v>#REF!</v>
      </c>
      <c r="BN21" t="e">
        <f>AND(#REF!,"AAAAAHn79UE=")</f>
        <v>#REF!</v>
      </c>
      <c r="BO21" t="e">
        <f>AND(#REF!,"AAAAAHn79UI=")</f>
        <v>#REF!</v>
      </c>
      <c r="BP21" t="e">
        <f>AND(#REF!,"AAAAAHn79UM=")</f>
        <v>#REF!</v>
      </c>
      <c r="BQ21" t="e">
        <f>AND(#REF!,"AAAAAHn79UQ=")</f>
        <v>#REF!</v>
      </c>
      <c r="BR21" t="e">
        <f>AND(#REF!,"AAAAAHn79UU=")</f>
        <v>#REF!</v>
      </c>
      <c r="BS21" t="e">
        <f>AND(#REF!,"AAAAAHn79UY=")</f>
        <v>#REF!</v>
      </c>
      <c r="BT21" t="e">
        <f>AND(#REF!,"AAAAAHn79Uc=")</f>
        <v>#REF!</v>
      </c>
      <c r="BU21" t="e">
        <f>AND(#REF!,"AAAAAHn79Ug=")</f>
        <v>#REF!</v>
      </c>
      <c r="BV21" t="e">
        <f>AND(#REF!,"AAAAAHn79Uk=")</f>
        <v>#REF!</v>
      </c>
      <c r="BW21" t="e">
        <f>AND(#REF!,"AAAAAHn79Uo=")</f>
        <v>#REF!</v>
      </c>
      <c r="BX21" t="e">
        <f>IF(#REF!,"AAAAAHn79Us=",0)</f>
        <v>#REF!</v>
      </c>
      <c r="BY21" t="e">
        <f>AND(#REF!,"AAAAAHn79Uw=")</f>
        <v>#REF!</v>
      </c>
      <c r="BZ21" t="e">
        <f>AND(#REF!,"AAAAAHn79U0=")</f>
        <v>#REF!</v>
      </c>
      <c r="CA21" t="e">
        <f>AND(#REF!,"AAAAAHn79U4=")</f>
        <v>#REF!</v>
      </c>
      <c r="CB21" t="e">
        <f>AND(#REF!,"AAAAAHn79U8=")</f>
        <v>#REF!</v>
      </c>
      <c r="CC21" t="e">
        <f>AND(#REF!,"AAAAAHn79VA=")</f>
        <v>#REF!</v>
      </c>
      <c r="CD21" t="e">
        <f>AND(#REF!,"AAAAAHn79VE=")</f>
        <v>#REF!</v>
      </c>
      <c r="CE21" t="e">
        <f>AND(#REF!,"AAAAAHn79VI=")</f>
        <v>#REF!</v>
      </c>
      <c r="CF21" t="e">
        <f>AND(#REF!,"AAAAAHn79VM=")</f>
        <v>#REF!</v>
      </c>
      <c r="CG21" t="e">
        <f>AND(#REF!,"AAAAAHn79VQ=")</f>
        <v>#REF!</v>
      </c>
      <c r="CH21" t="e">
        <f>AND(#REF!,"AAAAAHn79VU=")</f>
        <v>#REF!</v>
      </c>
      <c r="CI21" t="e">
        <f>AND(#REF!,"AAAAAHn79VY=")</f>
        <v>#REF!</v>
      </c>
      <c r="CJ21" t="e">
        <f>AND(#REF!,"AAAAAHn79Vc=")</f>
        <v>#REF!</v>
      </c>
      <c r="CK21" t="e">
        <f>AND(#REF!,"AAAAAHn79Vg=")</f>
        <v>#REF!</v>
      </c>
      <c r="CL21" t="e">
        <f>AND(#REF!,"AAAAAHn79Vk=")</f>
        <v>#REF!</v>
      </c>
      <c r="CM21" t="e">
        <f>AND(#REF!,"AAAAAHn79Vo=")</f>
        <v>#REF!</v>
      </c>
      <c r="CN21" t="e">
        <f>AND(#REF!,"AAAAAHn79Vs=")</f>
        <v>#REF!</v>
      </c>
      <c r="CO21" t="e">
        <f>AND(#REF!,"AAAAAHn79Vw=")</f>
        <v>#REF!</v>
      </c>
      <c r="CP21" t="e">
        <f>AND(#REF!,"AAAAAHn79V0=")</f>
        <v>#REF!</v>
      </c>
      <c r="CQ21" t="e">
        <f>AND(#REF!,"AAAAAHn79V4=")</f>
        <v>#REF!</v>
      </c>
      <c r="CR21" t="e">
        <f>AND(#REF!,"AAAAAHn79V8=")</f>
        <v>#REF!</v>
      </c>
      <c r="CS21" t="e">
        <f>IF(#REF!,"AAAAAHn79WA=",0)</f>
        <v>#REF!</v>
      </c>
      <c r="CT21" t="e">
        <f>AND(#REF!,"AAAAAHn79WE=")</f>
        <v>#REF!</v>
      </c>
      <c r="CU21" t="e">
        <f>AND(#REF!,"AAAAAHn79WI=")</f>
        <v>#REF!</v>
      </c>
      <c r="CV21" t="e">
        <f>AND(#REF!,"AAAAAHn79WM=")</f>
        <v>#REF!</v>
      </c>
      <c r="CW21" t="e">
        <f>AND(#REF!,"AAAAAHn79WQ=")</f>
        <v>#REF!</v>
      </c>
      <c r="CX21" t="e">
        <f>AND(#REF!,"AAAAAHn79WU=")</f>
        <v>#REF!</v>
      </c>
      <c r="CY21" t="e">
        <f>AND(#REF!,"AAAAAHn79WY=")</f>
        <v>#REF!</v>
      </c>
      <c r="CZ21" t="e">
        <f>AND(#REF!,"AAAAAHn79Wc=")</f>
        <v>#REF!</v>
      </c>
      <c r="DA21" t="e">
        <f>AND(#REF!,"AAAAAHn79Wg=")</f>
        <v>#REF!</v>
      </c>
      <c r="DB21" t="e">
        <f>AND(#REF!,"AAAAAHn79Wk=")</f>
        <v>#REF!</v>
      </c>
      <c r="DC21" t="e">
        <f>AND(#REF!,"AAAAAHn79Wo=")</f>
        <v>#REF!</v>
      </c>
      <c r="DD21" t="e">
        <f>AND(#REF!,"AAAAAHn79Ws=")</f>
        <v>#REF!</v>
      </c>
      <c r="DE21" t="e">
        <f>AND(#REF!,"AAAAAHn79Ww=")</f>
        <v>#REF!</v>
      </c>
      <c r="DF21" t="e">
        <f>AND(#REF!,"AAAAAHn79W0=")</f>
        <v>#REF!</v>
      </c>
      <c r="DG21" t="e">
        <f>AND(#REF!,"AAAAAHn79W4=")</f>
        <v>#REF!</v>
      </c>
      <c r="DH21" t="e">
        <f>AND(#REF!,"AAAAAHn79W8=")</f>
        <v>#REF!</v>
      </c>
      <c r="DI21" t="e">
        <f>AND(#REF!,"AAAAAHn79XA=")</f>
        <v>#REF!</v>
      </c>
      <c r="DJ21" t="e">
        <f>AND(#REF!,"AAAAAHn79XE=")</f>
        <v>#REF!</v>
      </c>
      <c r="DK21" t="e">
        <f>AND(#REF!,"AAAAAHn79XI=")</f>
        <v>#REF!</v>
      </c>
      <c r="DL21" t="e">
        <f>AND(#REF!,"AAAAAHn79XM=")</f>
        <v>#REF!</v>
      </c>
      <c r="DM21" t="e">
        <f>AND(#REF!,"AAAAAHn79XQ=")</f>
        <v>#REF!</v>
      </c>
      <c r="DN21" t="e">
        <f>IF(#REF!,"AAAAAHn79XU=",0)</f>
        <v>#REF!</v>
      </c>
      <c r="DO21" t="e">
        <f>AND(#REF!,"AAAAAHn79XY=")</f>
        <v>#REF!</v>
      </c>
      <c r="DP21" t="e">
        <f>AND(#REF!,"AAAAAHn79Xc=")</f>
        <v>#REF!</v>
      </c>
      <c r="DQ21" t="e">
        <f>AND(#REF!,"AAAAAHn79Xg=")</f>
        <v>#REF!</v>
      </c>
      <c r="DR21" t="e">
        <f>AND(#REF!,"AAAAAHn79Xk=")</f>
        <v>#REF!</v>
      </c>
      <c r="DS21" t="e">
        <f>AND(#REF!,"AAAAAHn79Xo=")</f>
        <v>#REF!</v>
      </c>
      <c r="DT21" t="e">
        <f>AND(#REF!,"AAAAAHn79Xs=")</f>
        <v>#REF!</v>
      </c>
      <c r="DU21" t="e">
        <f>AND(#REF!,"AAAAAHn79Xw=")</f>
        <v>#REF!</v>
      </c>
      <c r="DV21" t="e">
        <f>AND(#REF!,"AAAAAHn79X0=")</f>
        <v>#REF!</v>
      </c>
      <c r="DW21" t="e">
        <f>AND(#REF!,"AAAAAHn79X4=")</f>
        <v>#REF!</v>
      </c>
      <c r="DX21" t="e">
        <f>AND(#REF!,"AAAAAHn79X8=")</f>
        <v>#REF!</v>
      </c>
      <c r="DY21" t="e">
        <f>AND(#REF!,"AAAAAHn79YA=")</f>
        <v>#REF!</v>
      </c>
      <c r="DZ21" t="e">
        <f>AND(#REF!,"AAAAAHn79YE=")</f>
        <v>#REF!</v>
      </c>
      <c r="EA21" t="e">
        <f>AND(#REF!,"AAAAAHn79YI=")</f>
        <v>#REF!</v>
      </c>
      <c r="EB21" t="e">
        <f>AND(#REF!,"AAAAAHn79YM=")</f>
        <v>#REF!</v>
      </c>
      <c r="EC21" t="e">
        <f>AND(#REF!,"AAAAAHn79YQ=")</f>
        <v>#REF!</v>
      </c>
      <c r="ED21" t="e">
        <f>AND(#REF!,"AAAAAHn79YU=")</f>
        <v>#REF!</v>
      </c>
      <c r="EE21" t="e">
        <f>AND(#REF!,"AAAAAHn79YY=")</f>
        <v>#REF!</v>
      </c>
      <c r="EF21" t="e">
        <f>AND(#REF!,"AAAAAHn79Yc=")</f>
        <v>#REF!</v>
      </c>
      <c r="EG21" t="e">
        <f>AND(#REF!,"AAAAAHn79Yg=")</f>
        <v>#REF!</v>
      </c>
      <c r="EH21" t="e">
        <f>AND(#REF!,"AAAAAHn79Yk=")</f>
        <v>#REF!</v>
      </c>
      <c r="EI21" t="e">
        <f>IF(#REF!,"AAAAAHn79Yo=",0)</f>
        <v>#REF!</v>
      </c>
      <c r="EJ21" t="e">
        <f>AND(#REF!,"AAAAAHn79Ys=")</f>
        <v>#REF!</v>
      </c>
      <c r="EK21" t="e">
        <f>AND(#REF!,"AAAAAHn79Yw=")</f>
        <v>#REF!</v>
      </c>
      <c r="EL21" t="e">
        <f>AND(#REF!,"AAAAAHn79Y0=")</f>
        <v>#REF!</v>
      </c>
      <c r="EM21" t="e">
        <f>AND(#REF!,"AAAAAHn79Y4=")</f>
        <v>#REF!</v>
      </c>
      <c r="EN21" t="e">
        <f>AND(#REF!,"AAAAAHn79Y8=")</f>
        <v>#REF!</v>
      </c>
      <c r="EO21" t="e">
        <f>AND(#REF!,"AAAAAHn79ZA=")</f>
        <v>#REF!</v>
      </c>
      <c r="EP21" t="e">
        <f>AND(#REF!,"AAAAAHn79ZE=")</f>
        <v>#REF!</v>
      </c>
      <c r="EQ21" t="e">
        <f>AND(#REF!,"AAAAAHn79ZI=")</f>
        <v>#REF!</v>
      </c>
      <c r="ER21" t="e">
        <f>AND(#REF!,"AAAAAHn79ZM=")</f>
        <v>#REF!</v>
      </c>
      <c r="ES21" t="e">
        <f>AND(#REF!,"AAAAAHn79ZQ=")</f>
        <v>#REF!</v>
      </c>
      <c r="ET21" t="e">
        <f>AND(#REF!,"AAAAAHn79ZU=")</f>
        <v>#REF!</v>
      </c>
      <c r="EU21" t="e">
        <f>AND(#REF!,"AAAAAHn79ZY=")</f>
        <v>#REF!</v>
      </c>
      <c r="EV21" t="e">
        <f>AND(#REF!,"AAAAAHn79Zc=")</f>
        <v>#REF!</v>
      </c>
      <c r="EW21" t="e">
        <f>AND(#REF!,"AAAAAHn79Zg=")</f>
        <v>#REF!</v>
      </c>
      <c r="EX21" t="e">
        <f>AND(#REF!,"AAAAAHn79Zk=")</f>
        <v>#REF!</v>
      </c>
      <c r="EY21" t="e">
        <f>AND(#REF!,"AAAAAHn79Zo=")</f>
        <v>#REF!</v>
      </c>
      <c r="EZ21" t="e">
        <f>AND(#REF!,"AAAAAHn79Zs=")</f>
        <v>#REF!</v>
      </c>
      <c r="FA21" t="e">
        <f>AND(#REF!,"AAAAAHn79Zw=")</f>
        <v>#REF!</v>
      </c>
      <c r="FB21" t="e">
        <f>AND(#REF!,"AAAAAHn79Z0=")</f>
        <v>#REF!</v>
      </c>
      <c r="FC21" t="e">
        <f>AND(#REF!,"AAAAAHn79Z4=")</f>
        <v>#REF!</v>
      </c>
      <c r="FD21" t="e">
        <f>IF(#REF!,"AAAAAHn79Z8=",0)</f>
        <v>#REF!</v>
      </c>
      <c r="FE21" t="e">
        <f>AND(#REF!,"AAAAAHn79aA=")</f>
        <v>#REF!</v>
      </c>
      <c r="FF21" t="e">
        <f>AND(#REF!,"AAAAAHn79aE=")</f>
        <v>#REF!</v>
      </c>
      <c r="FG21" t="e">
        <f>AND(#REF!,"AAAAAHn79aI=")</f>
        <v>#REF!</v>
      </c>
      <c r="FH21" t="e">
        <f>AND(#REF!,"AAAAAHn79aM=")</f>
        <v>#REF!</v>
      </c>
      <c r="FI21" t="e">
        <f>AND(#REF!,"AAAAAHn79aQ=")</f>
        <v>#REF!</v>
      </c>
      <c r="FJ21" t="e">
        <f>AND(#REF!,"AAAAAHn79aU=")</f>
        <v>#REF!</v>
      </c>
      <c r="FK21" t="e">
        <f>AND(#REF!,"AAAAAHn79aY=")</f>
        <v>#REF!</v>
      </c>
      <c r="FL21" t="e">
        <f>AND(#REF!,"AAAAAHn79ac=")</f>
        <v>#REF!</v>
      </c>
      <c r="FM21" t="e">
        <f>AND(#REF!,"AAAAAHn79ag=")</f>
        <v>#REF!</v>
      </c>
      <c r="FN21" t="e">
        <f>AND(#REF!,"AAAAAHn79ak=")</f>
        <v>#REF!</v>
      </c>
      <c r="FO21" t="e">
        <f>AND(#REF!,"AAAAAHn79ao=")</f>
        <v>#REF!</v>
      </c>
      <c r="FP21" t="e">
        <f>AND(#REF!,"AAAAAHn79as=")</f>
        <v>#REF!</v>
      </c>
      <c r="FQ21" t="e">
        <f>AND(#REF!,"AAAAAHn79aw=")</f>
        <v>#REF!</v>
      </c>
      <c r="FR21" t="e">
        <f>AND(#REF!,"AAAAAHn79a0=")</f>
        <v>#REF!</v>
      </c>
      <c r="FS21" t="e">
        <f>AND(#REF!,"AAAAAHn79a4=")</f>
        <v>#REF!</v>
      </c>
      <c r="FT21" t="e">
        <f>AND(#REF!,"AAAAAHn79a8=")</f>
        <v>#REF!</v>
      </c>
      <c r="FU21" t="e">
        <f>AND(#REF!,"AAAAAHn79bA=")</f>
        <v>#REF!</v>
      </c>
      <c r="FV21" t="e">
        <f>AND(#REF!,"AAAAAHn79bE=")</f>
        <v>#REF!</v>
      </c>
      <c r="FW21" t="e">
        <f>AND(#REF!,"AAAAAHn79bI=")</f>
        <v>#REF!</v>
      </c>
      <c r="FX21" t="e">
        <f>AND(#REF!,"AAAAAHn79bM=")</f>
        <v>#REF!</v>
      </c>
      <c r="FY21" t="e">
        <f>IF(#REF!,"AAAAAHn79bQ=",0)</f>
        <v>#REF!</v>
      </c>
      <c r="FZ21" t="e">
        <f>AND(#REF!,"AAAAAHn79bU=")</f>
        <v>#REF!</v>
      </c>
      <c r="GA21" t="e">
        <f>AND(#REF!,"AAAAAHn79bY=")</f>
        <v>#REF!</v>
      </c>
      <c r="GB21" t="e">
        <f>AND(#REF!,"AAAAAHn79bc=")</f>
        <v>#REF!</v>
      </c>
      <c r="GC21" t="e">
        <f>AND(#REF!,"AAAAAHn79bg=")</f>
        <v>#REF!</v>
      </c>
      <c r="GD21" t="e">
        <f>AND(#REF!,"AAAAAHn79bk=")</f>
        <v>#REF!</v>
      </c>
      <c r="GE21" t="e">
        <f>AND(#REF!,"AAAAAHn79bo=")</f>
        <v>#REF!</v>
      </c>
      <c r="GF21" t="e">
        <f>AND(#REF!,"AAAAAHn79bs=")</f>
        <v>#REF!</v>
      </c>
      <c r="GG21" t="e">
        <f>AND(#REF!,"AAAAAHn79bw=")</f>
        <v>#REF!</v>
      </c>
      <c r="GH21" t="e">
        <f>AND(#REF!,"AAAAAHn79b0=")</f>
        <v>#REF!</v>
      </c>
      <c r="GI21" t="e">
        <f>AND(#REF!,"AAAAAHn79b4=")</f>
        <v>#REF!</v>
      </c>
      <c r="GJ21" t="e">
        <f>AND(#REF!,"AAAAAHn79b8=")</f>
        <v>#REF!</v>
      </c>
      <c r="GK21" t="e">
        <f>AND(#REF!,"AAAAAHn79cA=")</f>
        <v>#REF!</v>
      </c>
      <c r="GL21" t="e">
        <f>AND(#REF!,"AAAAAHn79cE=")</f>
        <v>#REF!</v>
      </c>
      <c r="GM21" t="e">
        <f>AND(#REF!,"AAAAAHn79cI=")</f>
        <v>#REF!</v>
      </c>
      <c r="GN21" t="e">
        <f>AND(#REF!,"AAAAAHn79cM=")</f>
        <v>#REF!</v>
      </c>
      <c r="GO21" t="e">
        <f>AND(#REF!,"AAAAAHn79cQ=")</f>
        <v>#REF!</v>
      </c>
      <c r="GP21" t="e">
        <f>AND(#REF!,"AAAAAHn79cU=")</f>
        <v>#REF!</v>
      </c>
      <c r="GQ21" t="e">
        <f>AND(#REF!,"AAAAAHn79cY=")</f>
        <v>#REF!</v>
      </c>
      <c r="GR21" t="e">
        <f>AND(#REF!,"AAAAAHn79cc=")</f>
        <v>#REF!</v>
      </c>
      <c r="GS21" t="e">
        <f>AND(#REF!,"AAAAAHn79cg=")</f>
        <v>#REF!</v>
      </c>
      <c r="GT21" t="e">
        <f>IF(#REF!,"AAAAAHn79ck=",0)</f>
        <v>#REF!</v>
      </c>
      <c r="GU21" t="e">
        <f>AND(#REF!,"AAAAAHn79co=")</f>
        <v>#REF!</v>
      </c>
      <c r="GV21" t="e">
        <f>AND(#REF!,"AAAAAHn79cs=")</f>
        <v>#REF!</v>
      </c>
      <c r="GW21" t="e">
        <f>AND(#REF!,"AAAAAHn79cw=")</f>
        <v>#REF!</v>
      </c>
      <c r="GX21" t="e">
        <f>AND(#REF!,"AAAAAHn79c0=")</f>
        <v>#REF!</v>
      </c>
      <c r="GY21" t="e">
        <f>AND(#REF!,"AAAAAHn79c4=")</f>
        <v>#REF!</v>
      </c>
      <c r="GZ21" t="e">
        <f>AND(#REF!,"AAAAAHn79c8=")</f>
        <v>#REF!</v>
      </c>
      <c r="HA21" t="e">
        <f>AND(#REF!,"AAAAAHn79dA=")</f>
        <v>#REF!</v>
      </c>
      <c r="HB21" t="e">
        <f>AND(#REF!,"AAAAAHn79dE=")</f>
        <v>#REF!</v>
      </c>
      <c r="HC21" t="e">
        <f>AND(#REF!,"AAAAAHn79dI=")</f>
        <v>#REF!</v>
      </c>
      <c r="HD21" t="e">
        <f>AND(#REF!,"AAAAAHn79dM=")</f>
        <v>#REF!</v>
      </c>
      <c r="HE21" t="e">
        <f>AND(#REF!,"AAAAAHn79dQ=")</f>
        <v>#REF!</v>
      </c>
      <c r="HF21" t="e">
        <f>AND(#REF!,"AAAAAHn79dU=")</f>
        <v>#REF!</v>
      </c>
      <c r="HG21" t="e">
        <f>AND(#REF!,"AAAAAHn79dY=")</f>
        <v>#REF!</v>
      </c>
      <c r="HH21" t="e">
        <f>AND(#REF!,"AAAAAHn79dc=")</f>
        <v>#REF!</v>
      </c>
      <c r="HI21" t="e">
        <f>AND(#REF!,"AAAAAHn79dg=")</f>
        <v>#REF!</v>
      </c>
      <c r="HJ21" t="e">
        <f>AND(#REF!,"AAAAAHn79dk=")</f>
        <v>#REF!</v>
      </c>
      <c r="HK21" t="e">
        <f>AND(#REF!,"AAAAAHn79do=")</f>
        <v>#REF!</v>
      </c>
      <c r="HL21" t="e">
        <f>AND(#REF!,"AAAAAHn79ds=")</f>
        <v>#REF!</v>
      </c>
      <c r="HM21" t="e">
        <f>AND(#REF!,"AAAAAHn79dw=")</f>
        <v>#REF!</v>
      </c>
      <c r="HN21" t="e">
        <f>AND(#REF!,"AAAAAHn79d0=")</f>
        <v>#REF!</v>
      </c>
      <c r="HO21" t="e">
        <f>IF(#REF!,"AAAAAHn79d4=",0)</f>
        <v>#REF!</v>
      </c>
      <c r="HP21" t="e">
        <f>AND(#REF!,"AAAAAHn79d8=")</f>
        <v>#REF!</v>
      </c>
      <c r="HQ21" t="e">
        <f>AND(#REF!,"AAAAAHn79eA=")</f>
        <v>#REF!</v>
      </c>
      <c r="HR21" t="e">
        <f>AND(#REF!,"AAAAAHn79eE=")</f>
        <v>#REF!</v>
      </c>
      <c r="HS21" t="e">
        <f>AND(#REF!,"AAAAAHn79eI=")</f>
        <v>#REF!</v>
      </c>
      <c r="HT21" t="e">
        <f>AND(#REF!,"AAAAAHn79eM=")</f>
        <v>#REF!</v>
      </c>
      <c r="HU21" t="e">
        <f>AND(#REF!,"AAAAAHn79eQ=")</f>
        <v>#REF!</v>
      </c>
      <c r="HV21" t="e">
        <f>AND(#REF!,"AAAAAHn79eU=")</f>
        <v>#REF!</v>
      </c>
      <c r="HW21" t="e">
        <f>AND(#REF!,"AAAAAHn79eY=")</f>
        <v>#REF!</v>
      </c>
      <c r="HX21" t="e">
        <f>AND(#REF!,"AAAAAHn79ec=")</f>
        <v>#REF!</v>
      </c>
      <c r="HY21" t="e">
        <f>AND(#REF!,"AAAAAHn79eg=")</f>
        <v>#REF!</v>
      </c>
      <c r="HZ21" t="e">
        <f>AND(#REF!,"AAAAAHn79ek=")</f>
        <v>#REF!</v>
      </c>
      <c r="IA21" t="e">
        <f>AND(#REF!,"AAAAAHn79eo=")</f>
        <v>#REF!</v>
      </c>
      <c r="IB21" t="e">
        <f>AND(#REF!,"AAAAAHn79es=")</f>
        <v>#REF!</v>
      </c>
      <c r="IC21" t="e">
        <f>AND(#REF!,"AAAAAHn79ew=")</f>
        <v>#REF!</v>
      </c>
      <c r="ID21" t="e">
        <f>AND(#REF!,"AAAAAHn79e0=")</f>
        <v>#REF!</v>
      </c>
      <c r="IE21" t="e">
        <f>AND(#REF!,"AAAAAHn79e4=")</f>
        <v>#REF!</v>
      </c>
      <c r="IF21" t="e">
        <f>AND(#REF!,"AAAAAHn79e8=")</f>
        <v>#REF!</v>
      </c>
      <c r="IG21" t="e">
        <f>AND(#REF!,"AAAAAHn79fA=")</f>
        <v>#REF!</v>
      </c>
      <c r="IH21" t="e">
        <f>AND(#REF!,"AAAAAHn79fE=")</f>
        <v>#REF!</v>
      </c>
      <c r="II21" t="e">
        <f>AND(#REF!,"AAAAAHn79fI=")</f>
        <v>#REF!</v>
      </c>
      <c r="IJ21" t="e">
        <f>IF(#REF!,"AAAAAHn79fM=",0)</f>
        <v>#REF!</v>
      </c>
      <c r="IK21" t="e">
        <f>AND(#REF!,"AAAAAHn79fQ=")</f>
        <v>#REF!</v>
      </c>
      <c r="IL21" t="e">
        <f>AND(#REF!,"AAAAAHn79fU=")</f>
        <v>#REF!</v>
      </c>
      <c r="IM21" t="e">
        <f>AND(#REF!,"AAAAAHn79fY=")</f>
        <v>#REF!</v>
      </c>
      <c r="IN21" t="e">
        <f>AND(#REF!,"AAAAAHn79fc=")</f>
        <v>#REF!</v>
      </c>
      <c r="IO21" t="e">
        <f>AND(#REF!,"AAAAAHn79fg=")</f>
        <v>#REF!</v>
      </c>
      <c r="IP21" t="e">
        <f>AND(#REF!,"AAAAAHn79fk=")</f>
        <v>#REF!</v>
      </c>
      <c r="IQ21" t="e">
        <f>AND(#REF!,"AAAAAHn79fo=")</f>
        <v>#REF!</v>
      </c>
      <c r="IR21" t="e">
        <f>AND(#REF!,"AAAAAHn79fs=")</f>
        <v>#REF!</v>
      </c>
      <c r="IS21" t="e">
        <f>AND(#REF!,"AAAAAHn79fw=")</f>
        <v>#REF!</v>
      </c>
      <c r="IT21" t="e">
        <f>AND(#REF!,"AAAAAHn79f0=")</f>
        <v>#REF!</v>
      </c>
      <c r="IU21" t="e">
        <f>AND(#REF!,"AAAAAHn79f4=")</f>
        <v>#REF!</v>
      </c>
      <c r="IV21" t="e">
        <f>AND(#REF!,"AAAAAHn79f8=")</f>
        <v>#REF!</v>
      </c>
    </row>
    <row r="22" spans="1:256">
      <c r="A22" t="e">
        <f>AND(#REF!,"AAAAAH/j+wA=")</f>
        <v>#REF!</v>
      </c>
      <c r="B22" t="e">
        <f>AND(#REF!,"AAAAAH/j+wE=")</f>
        <v>#REF!</v>
      </c>
      <c r="C22" t="e">
        <f>AND(#REF!,"AAAAAH/j+wI=")</f>
        <v>#REF!</v>
      </c>
      <c r="D22" t="e">
        <f>AND(#REF!,"AAAAAH/j+wM=")</f>
        <v>#REF!</v>
      </c>
      <c r="E22" t="e">
        <f>AND(#REF!,"AAAAAH/j+wQ=")</f>
        <v>#REF!</v>
      </c>
      <c r="F22" t="e">
        <f>AND(#REF!,"AAAAAH/j+wU=")</f>
        <v>#REF!</v>
      </c>
      <c r="G22" t="e">
        <f>AND(#REF!,"AAAAAH/j+wY=")</f>
        <v>#REF!</v>
      </c>
      <c r="H22" t="e">
        <f>AND(#REF!,"AAAAAH/j+wc=")</f>
        <v>#REF!</v>
      </c>
      <c r="I22" t="e">
        <f>IF(#REF!,"AAAAAH/j+wg=",0)</f>
        <v>#REF!</v>
      </c>
      <c r="J22" t="e">
        <f>AND(#REF!,"AAAAAH/j+wk=")</f>
        <v>#REF!</v>
      </c>
      <c r="K22" t="e">
        <f>AND(#REF!,"AAAAAH/j+wo=")</f>
        <v>#REF!</v>
      </c>
      <c r="L22" t="e">
        <f>AND(#REF!,"AAAAAH/j+ws=")</f>
        <v>#REF!</v>
      </c>
      <c r="M22" t="e">
        <f>AND(#REF!,"AAAAAH/j+ww=")</f>
        <v>#REF!</v>
      </c>
      <c r="N22" t="e">
        <f>AND(#REF!,"AAAAAH/j+w0=")</f>
        <v>#REF!</v>
      </c>
      <c r="O22" t="e">
        <f>AND(#REF!,"AAAAAH/j+w4=")</f>
        <v>#REF!</v>
      </c>
      <c r="P22" t="e">
        <f>AND(#REF!,"AAAAAH/j+w8=")</f>
        <v>#REF!</v>
      </c>
      <c r="Q22" t="e">
        <f>AND(#REF!,"AAAAAH/j+xA=")</f>
        <v>#REF!</v>
      </c>
      <c r="R22" t="e">
        <f>AND(#REF!,"AAAAAH/j+xE=")</f>
        <v>#REF!</v>
      </c>
      <c r="S22" t="e">
        <f>AND(#REF!,"AAAAAH/j+xI=")</f>
        <v>#REF!</v>
      </c>
      <c r="T22" t="e">
        <f>AND(#REF!,"AAAAAH/j+xM=")</f>
        <v>#REF!</v>
      </c>
      <c r="U22" t="e">
        <f>AND(#REF!,"AAAAAH/j+xQ=")</f>
        <v>#REF!</v>
      </c>
      <c r="V22" t="e">
        <f>AND(#REF!,"AAAAAH/j+xU=")</f>
        <v>#REF!</v>
      </c>
      <c r="W22" t="e">
        <f>AND(#REF!,"AAAAAH/j+xY=")</f>
        <v>#REF!</v>
      </c>
      <c r="X22" t="e">
        <f>AND(#REF!,"AAAAAH/j+xc=")</f>
        <v>#REF!</v>
      </c>
      <c r="Y22" t="e">
        <f>AND(#REF!,"AAAAAH/j+xg=")</f>
        <v>#REF!</v>
      </c>
      <c r="Z22" t="e">
        <f>AND(#REF!,"AAAAAH/j+xk=")</f>
        <v>#REF!</v>
      </c>
      <c r="AA22" t="e">
        <f>AND(#REF!,"AAAAAH/j+xo=")</f>
        <v>#REF!</v>
      </c>
      <c r="AB22" t="e">
        <f>AND(#REF!,"AAAAAH/j+xs=")</f>
        <v>#REF!</v>
      </c>
      <c r="AC22" t="e">
        <f>AND(#REF!,"AAAAAH/j+xw=")</f>
        <v>#REF!</v>
      </c>
      <c r="AD22" t="e">
        <f>IF(#REF!,"AAAAAH/j+x0=",0)</f>
        <v>#REF!</v>
      </c>
      <c r="AE22" t="e">
        <f>AND(#REF!,"AAAAAH/j+x4=")</f>
        <v>#REF!</v>
      </c>
      <c r="AF22" t="e">
        <f>AND(#REF!,"AAAAAH/j+x8=")</f>
        <v>#REF!</v>
      </c>
      <c r="AG22" t="e">
        <f>AND(#REF!,"AAAAAH/j+yA=")</f>
        <v>#REF!</v>
      </c>
      <c r="AH22" t="e">
        <f>AND(#REF!,"AAAAAH/j+yE=")</f>
        <v>#REF!</v>
      </c>
      <c r="AI22" t="e">
        <f>AND(#REF!,"AAAAAH/j+yI=")</f>
        <v>#REF!</v>
      </c>
      <c r="AJ22" t="e">
        <f>AND(#REF!,"AAAAAH/j+yM=")</f>
        <v>#REF!</v>
      </c>
      <c r="AK22" t="e">
        <f>AND(#REF!,"AAAAAH/j+yQ=")</f>
        <v>#REF!</v>
      </c>
      <c r="AL22" t="e">
        <f>AND(#REF!,"AAAAAH/j+yU=")</f>
        <v>#REF!</v>
      </c>
      <c r="AM22" t="e">
        <f>AND(#REF!,"AAAAAH/j+yY=")</f>
        <v>#REF!</v>
      </c>
      <c r="AN22" t="e">
        <f>AND(#REF!,"AAAAAH/j+yc=")</f>
        <v>#REF!</v>
      </c>
      <c r="AO22" t="e">
        <f>AND(#REF!,"AAAAAH/j+yg=")</f>
        <v>#REF!</v>
      </c>
      <c r="AP22" t="e">
        <f>AND(#REF!,"AAAAAH/j+yk=")</f>
        <v>#REF!</v>
      </c>
      <c r="AQ22" t="e">
        <f>AND(#REF!,"AAAAAH/j+yo=")</f>
        <v>#REF!</v>
      </c>
      <c r="AR22" t="e">
        <f>AND(#REF!,"AAAAAH/j+ys=")</f>
        <v>#REF!</v>
      </c>
      <c r="AS22" t="e">
        <f>AND(#REF!,"AAAAAH/j+yw=")</f>
        <v>#REF!</v>
      </c>
      <c r="AT22" t="e">
        <f>AND(#REF!,"AAAAAH/j+y0=")</f>
        <v>#REF!</v>
      </c>
      <c r="AU22" t="e">
        <f>AND(#REF!,"AAAAAH/j+y4=")</f>
        <v>#REF!</v>
      </c>
      <c r="AV22" t="e">
        <f>AND(#REF!,"AAAAAH/j+y8=")</f>
        <v>#REF!</v>
      </c>
      <c r="AW22" t="e">
        <f>AND(#REF!,"AAAAAH/j+zA=")</f>
        <v>#REF!</v>
      </c>
      <c r="AX22" t="e">
        <f>AND(#REF!,"AAAAAH/j+zE=")</f>
        <v>#REF!</v>
      </c>
      <c r="AY22" t="e">
        <f>IF(#REF!,"AAAAAH/j+zI=",0)</f>
        <v>#REF!</v>
      </c>
      <c r="AZ22" t="e">
        <f>AND(#REF!,"AAAAAH/j+zM=")</f>
        <v>#REF!</v>
      </c>
      <c r="BA22" t="e">
        <f>AND(#REF!,"AAAAAH/j+zQ=")</f>
        <v>#REF!</v>
      </c>
      <c r="BB22" t="e">
        <f>AND(#REF!,"AAAAAH/j+zU=")</f>
        <v>#REF!</v>
      </c>
      <c r="BC22" t="e">
        <f>AND(#REF!,"AAAAAH/j+zY=")</f>
        <v>#REF!</v>
      </c>
      <c r="BD22" t="e">
        <f>AND(#REF!,"AAAAAH/j+zc=")</f>
        <v>#REF!</v>
      </c>
      <c r="BE22" t="e">
        <f>AND(#REF!,"AAAAAH/j+zg=")</f>
        <v>#REF!</v>
      </c>
      <c r="BF22" t="e">
        <f>AND(#REF!,"AAAAAH/j+zk=")</f>
        <v>#REF!</v>
      </c>
      <c r="BG22" t="e">
        <f>AND(#REF!,"AAAAAH/j+zo=")</f>
        <v>#REF!</v>
      </c>
      <c r="BH22" t="e">
        <f>AND(#REF!,"AAAAAH/j+zs=")</f>
        <v>#REF!</v>
      </c>
      <c r="BI22" t="e">
        <f>AND(#REF!,"AAAAAH/j+zw=")</f>
        <v>#REF!</v>
      </c>
      <c r="BJ22" t="e">
        <f>AND(#REF!,"AAAAAH/j+z0=")</f>
        <v>#REF!</v>
      </c>
      <c r="BK22" t="e">
        <f>AND(#REF!,"AAAAAH/j+z4=")</f>
        <v>#REF!</v>
      </c>
      <c r="BL22" t="e">
        <f>AND(#REF!,"AAAAAH/j+z8=")</f>
        <v>#REF!</v>
      </c>
      <c r="BM22" t="e">
        <f>AND(#REF!,"AAAAAH/j+0A=")</f>
        <v>#REF!</v>
      </c>
      <c r="BN22" t="e">
        <f>AND(#REF!,"AAAAAH/j+0E=")</f>
        <v>#REF!</v>
      </c>
      <c r="BO22" t="e">
        <f>AND(#REF!,"AAAAAH/j+0I=")</f>
        <v>#REF!</v>
      </c>
      <c r="BP22" t="e">
        <f>AND(#REF!,"AAAAAH/j+0M=")</f>
        <v>#REF!</v>
      </c>
      <c r="BQ22" t="e">
        <f>AND(#REF!,"AAAAAH/j+0Q=")</f>
        <v>#REF!</v>
      </c>
      <c r="BR22" t="e">
        <f>AND(#REF!,"AAAAAH/j+0U=")</f>
        <v>#REF!</v>
      </c>
      <c r="BS22" t="e">
        <f>AND(#REF!,"AAAAAH/j+0Y=")</f>
        <v>#REF!</v>
      </c>
      <c r="BT22" t="e">
        <f>IF(#REF!,"AAAAAH/j+0c=",0)</f>
        <v>#REF!</v>
      </c>
      <c r="BU22" t="e">
        <f>AND(#REF!,"AAAAAH/j+0g=")</f>
        <v>#REF!</v>
      </c>
      <c r="BV22" t="e">
        <f>AND(#REF!,"AAAAAH/j+0k=")</f>
        <v>#REF!</v>
      </c>
      <c r="BW22" t="e">
        <f>AND(#REF!,"AAAAAH/j+0o=")</f>
        <v>#REF!</v>
      </c>
      <c r="BX22" t="e">
        <f>AND(#REF!,"AAAAAH/j+0s=")</f>
        <v>#REF!</v>
      </c>
      <c r="BY22" t="e">
        <f>AND(#REF!,"AAAAAH/j+0w=")</f>
        <v>#REF!</v>
      </c>
      <c r="BZ22" t="e">
        <f>AND(#REF!,"AAAAAH/j+00=")</f>
        <v>#REF!</v>
      </c>
      <c r="CA22" t="e">
        <f>AND(#REF!,"AAAAAH/j+04=")</f>
        <v>#REF!</v>
      </c>
      <c r="CB22" t="e">
        <f>AND(#REF!,"AAAAAH/j+08=")</f>
        <v>#REF!</v>
      </c>
      <c r="CC22" t="e">
        <f>AND(#REF!,"AAAAAH/j+1A=")</f>
        <v>#REF!</v>
      </c>
      <c r="CD22" t="e">
        <f>AND(#REF!,"AAAAAH/j+1E=")</f>
        <v>#REF!</v>
      </c>
      <c r="CE22" t="e">
        <f>AND(#REF!,"AAAAAH/j+1I=")</f>
        <v>#REF!</v>
      </c>
      <c r="CF22" t="e">
        <f>AND(#REF!,"AAAAAH/j+1M=")</f>
        <v>#REF!</v>
      </c>
      <c r="CG22" t="e">
        <f>AND(#REF!,"AAAAAH/j+1Q=")</f>
        <v>#REF!</v>
      </c>
      <c r="CH22" t="e">
        <f>AND(#REF!,"AAAAAH/j+1U=")</f>
        <v>#REF!</v>
      </c>
      <c r="CI22" t="e">
        <f>AND(#REF!,"AAAAAH/j+1Y=")</f>
        <v>#REF!</v>
      </c>
      <c r="CJ22" t="e">
        <f>AND(#REF!,"AAAAAH/j+1c=")</f>
        <v>#REF!</v>
      </c>
      <c r="CK22" t="e">
        <f>AND(#REF!,"AAAAAH/j+1g=")</f>
        <v>#REF!</v>
      </c>
      <c r="CL22" t="e">
        <f>AND(#REF!,"AAAAAH/j+1k=")</f>
        <v>#REF!</v>
      </c>
      <c r="CM22" t="e">
        <f>AND(#REF!,"AAAAAH/j+1o=")</f>
        <v>#REF!</v>
      </c>
      <c r="CN22" t="e">
        <f>AND(#REF!,"AAAAAH/j+1s=")</f>
        <v>#REF!</v>
      </c>
      <c r="CO22" t="e">
        <f>IF(#REF!,"AAAAAH/j+1w=",0)</f>
        <v>#REF!</v>
      </c>
      <c r="CP22" t="e">
        <f>AND(#REF!,"AAAAAH/j+10=")</f>
        <v>#REF!</v>
      </c>
      <c r="CQ22" t="e">
        <f>AND(#REF!,"AAAAAH/j+14=")</f>
        <v>#REF!</v>
      </c>
      <c r="CR22" t="e">
        <f>AND(#REF!,"AAAAAH/j+18=")</f>
        <v>#REF!</v>
      </c>
      <c r="CS22" t="e">
        <f>AND(#REF!,"AAAAAH/j+2A=")</f>
        <v>#REF!</v>
      </c>
      <c r="CT22" t="e">
        <f>AND(#REF!,"AAAAAH/j+2E=")</f>
        <v>#REF!</v>
      </c>
      <c r="CU22" t="e">
        <f>AND(#REF!,"AAAAAH/j+2I=")</f>
        <v>#REF!</v>
      </c>
      <c r="CV22" t="e">
        <f>AND(#REF!,"AAAAAH/j+2M=")</f>
        <v>#REF!</v>
      </c>
      <c r="CW22" t="e">
        <f>AND(#REF!,"AAAAAH/j+2Q=")</f>
        <v>#REF!</v>
      </c>
      <c r="CX22" t="e">
        <f>AND(#REF!,"AAAAAH/j+2U=")</f>
        <v>#REF!</v>
      </c>
      <c r="CY22" t="e">
        <f>AND(#REF!,"AAAAAH/j+2Y=")</f>
        <v>#REF!</v>
      </c>
      <c r="CZ22" t="e">
        <f>AND(#REF!,"AAAAAH/j+2c=")</f>
        <v>#REF!</v>
      </c>
      <c r="DA22" t="e">
        <f>AND(#REF!,"AAAAAH/j+2g=")</f>
        <v>#REF!</v>
      </c>
      <c r="DB22" t="e">
        <f>AND(#REF!,"AAAAAH/j+2k=")</f>
        <v>#REF!</v>
      </c>
      <c r="DC22" t="e">
        <f>AND(#REF!,"AAAAAH/j+2o=")</f>
        <v>#REF!</v>
      </c>
      <c r="DD22" t="e">
        <f>AND(#REF!,"AAAAAH/j+2s=")</f>
        <v>#REF!</v>
      </c>
      <c r="DE22" t="e">
        <f>AND(#REF!,"AAAAAH/j+2w=")</f>
        <v>#REF!</v>
      </c>
      <c r="DF22" t="e">
        <f>AND(#REF!,"AAAAAH/j+20=")</f>
        <v>#REF!</v>
      </c>
      <c r="DG22" t="e">
        <f>AND(#REF!,"AAAAAH/j+24=")</f>
        <v>#REF!</v>
      </c>
      <c r="DH22" t="e">
        <f>AND(#REF!,"AAAAAH/j+28=")</f>
        <v>#REF!</v>
      </c>
      <c r="DI22" t="e">
        <f>AND(#REF!,"AAAAAH/j+3A=")</f>
        <v>#REF!</v>
      </c>
      <c r="DJ22" t="e">
        <f>IF(#REF!,"AAAAAH/j+3E=",0)</f>
        <v>#REF!</v>
      </c>
      <c r="DK22" t="e">
        <f>AND(#REF!,"AAAAAH/j+3I=")</f>
        <v>#REF!</v>
      </c>
      <c r="DL22" t="e">
        <f>AND(#REF!,"AAAAAH/j+3M=")</f>
        <v>#REF!</v>
      </c>
      <c r="DM22" t="e">
        <f>AND(#REF!,"AAAAAH/j+3Q=")</f>
        <v>#REF!</v>
      </c>
      <c r="DN22" t="e">
        <f>AND(#REF!,"AAAAAH/j+3U=")</f>
        <v>#REF!</v>
      </c>
      <c r="DO22" t="e">
        <f>AND(#REF!,"AAAAAH/j+3Y=")</f>
        <v>#REF!</v>
      </c>
      <c r="DP22" t="e">
        <f>AND(#REF!,"AAAAAH/j+3c=")</f>
        <v>#REF!</v>
      </c>
      <c r="DQ22" t="e">
        <f>AND(#REF!,"AAAAAH/j+3g=")</f>
        <v>#REF!</v>
      </c>
      <c r="DR22" t="e">
        <f>AND(#REF!,"AAAAAH/j+3k=")</f>
        <v>#REF!</v>
      </c>
      <c r="DS22" t="e">
        <f>AND(#REF!,"AAAAAH/j+3o=")</f>
        <v>#REF!</v>
      </c>
      <c r="DT22" t="e">
        <f>AND(#REF!,"AAAAAH/j+3s=")</f>
        <v>#REF!</v>
      </c>
      <c r="DU22" t="e">
        <f>AND(#REF!,"AAAAAH/j+3w=")</f>
        <v>#REF!</v>
      </c>
      <c r="DV22" t="e">
        <f>AND(#REF!,"AAAAAH/j+30=")</f>
        <v>#REF!</v>
      </c>
      <c r="DW22" t="e">
        <f>AND(#REF!,"AAAAAH/j+34=")</f>
        <v>#REF!</v>
      </c>
      <c r="DX22" t="e">
        <f>AND(#REF!,"AAAAAH/j+38=")</f>
        <v>#REF!</v>
      </c>
      <c r="DY22" t="e">
        <f>AND(#REF!,"AAAAAH/j+4A=")</f>
        <v>#REF!</v>
      </c>
      <c r="DZ22" t="e">
        <f>AND(#REF!,"AAAAAH/j+4E=")</f>
        <v>#REF!</v>
      </c>
      <c r="EA22" t="e">
        <f>AND(#REF!,"AAAAAH/j+4I=")</f>
        <v>#REF!</v>
      </c>
      <c r="EB22" t="e">
        <f>AND(#REF!,"AAAAAH/j+4M=")</f>
        <v>#REF!</v>
      </c>
      <c r="EC22" t="e">
        <f>AND(#REF!,"AAAAAH/j+4Q=")</f>
        <v>#REF!</v>
      </c>
      <c r="ED22" t="e">
        <f>AND(#REF!,"AAAAAH/j+4U=")</f>
        <v>#REF!</v>
      </c>
      <c r="EE22" t="e">
        <f>IF(#REF!,"AAAAAH/j+4Y=",0)</f>
        <v>#REF!</v>
      </c>
      <c r="EF22" t="e">
        <f>AND(#REF!,"AAAAAH/j+4c=")</f>
        <v>#REF!</v>
      </c>
      <c r="EG22" t="e">
        <f>AND(#REF!,"AAAAAH/j+4g=")</f>
        <v>#REF!</v>
      </c>
      <c r="EH22" t="e">
        <f>AND(#REF!,"AAAAAH/j+4k=")</f>
        <v>#REF!</v>
      </c>
      <c r="EI22" t="e">
        <f>AND(#REF!,"AAAAAH/j+4o=")</f>
        <v>#REF!</v>
      </c>
      <c r="EJ22" t="e">
        <f>AND(#REF!,"AAAAAH/j+4s=")</f>
        <v>#REF!</v>
      </c>
      <c r="EK22" t="e">
        <f>AND(#REF!,"AAAAAH/j+4w=")</f>
        <v>#REF!</v>
      </c>
      <c r="EL22" t="e">
        <f>AND(#REF!,"AAAAAH/j+40=")</f>
        <v>#REF!</v>
      </c>
      <c r="EM22" t="e">
        <f>AND(#REF!,"AAAAAH/j+44=")</f>
        <v>#REF!</v>
      </c>
      <c r="EN22" t="e">
        <f>AND(#REF!,"AAAAAH/j+48=")</f>
        <v>#REF!</v>
      </c>
      <c r="EO22" t="e">
        <f>AND(#REF!,"AAAAAH/j+5A=")</f>
        <v>#REF!</v>
      </c>
      <c r="EP22" t="e">
        <f>AND(#REF!,"AAAAAH/j+5E=")</f>
        <v>#REF!</v>
      </c>
      <c r="EQ22" t="e">
        <f>AND(#REF!,"AAAAAH/j+5I=")</f>
        <v>#REF!</v>
      </c>
      <c r="ER22" t="e">
        <f>AND(#REF!,"AAAAAH/j+5M=")</f>
        <v>#REF!</v>
      </c>
      <c r="ES22" t="e">
        <f>AND(#REF!,"AAAAAH/j+5Q=")</f>
        <v>#REF!</v>
      </c>
      <c r="ET22" t="e">
        <f>AND(#REF!,"AAAAAH/j+5U=")</f>
        <v>#REF!</v>
      </c>
      <c r="EU22" t="e">
        <f>AND(#REF!,"AAAAAH/j+5Y=")</f>
        <v>#REF!</v>
      </c>
      <c r="EV22" t="e">
        <f>AND(#REF!,"AAAAAH/j+5c=")</f>
        <v>#REF!</v>
      </c>
      <c r="EW22" t="e">
        <f>AND(#REF!,"AAAAAH/j+5g=")</f>
        <v>#REF!</v>
      </c>
      <c r="EX22" t="e">
        <f>AND(#REF!,"AAAAAH/j+5k=")</f>
        <v>#REF!</v>
      </c>
      <c r="EY22" t="e">
        <f>AND(#REF!,"AAAAAH/j+5o=")</f>
        <v>#REF!</v>
      </c>
      <c r="EZ22" t="e">
        <f>IF(#REF!,"AAAAAH/j+5s=",0)</f>
        <v>#REF!</v>
      </c>
      <c r="FA22" t="e">
        <f>AND(#REF!,"AAAAAH/j+5w=")</f>
        <v>#REF!</v>
      </c>
      <c r="FB22" t="e">
        <f>AND(#REF!,"AAAAAH/j+50=")</f>
        <v>#REF!</v>
      </c>
      <c r="FC22" t="e">
        <f>AND(#REF!,"AAAAAH/j+54=")</f>
        <v>#REF!</v>
      </c>
      <c r="FD22" t="e">
        <f>AND(#REF!,"AAAAAH/j+58=")</f>
        <v>#REF!</v>
      </c>
      <c r="FE22" t="e">
        <f>AND(#REF!,"AAAAAH/j+6A=")</f>
        <v>#REF!</v>
      </c>
      <c r="FF22" t="e">
        <f>AND(#REF!,"AAAAAH/j+6E=")</f>
        <v>#REF!</v>
      </c>
      <c r="FG22" t="e">
        <f>AND(#REF!,"AAAAAH/j+6I=")</f>
        <v>#REF!</v>
      </c>
      <c r="FH22" t="e">
        <f>AND(#REF!,"AAAAAH/j+6M=")</f>
        <v>#REF!</v>
      </c>
      <c r="FI22" t="e">
        <f>AND(#REF!,"AAAAAH/j+6Q=")</f>
        <v>#REF!</v>
      </c>
      <c r="FJ22" t="e">
        <f>AND(#REF!,"AAAAAH/j+6U=")</f>
        <v>#REF!</v>
      </c>
      <c r="FK22" t="e">
        <f>AND(#REF!,"AAAAAH/j+6Y=")</f>
        <v>#REF!</v>
      </c>
      <c r="FL22" t="e">
        <f>AND(#REF!,"AAAAAH/j+6c=")</f>
        <v>#REF!</v>
      </c>
      <c r="FM22" t="e">
        <f>AND(#REF!,"AAAAAH/j+6g=")</f>
        <v>#REF!</v>
      </c>
      <c r="FN22" t="e">
        <f>AND(#REF!,"AAAAAH/j+6k=")</f>
        <v>#REF!</v>
      </c>
      <c r="FO22" t="e">
        <f>AND(#REF!,"AAAAAH/j+6o=")</f>
        <v>#REF!</v>
      </c>
      <c r="FP22" t="e">
        <f>AND(#REF!,"AAAAAH/j+6s=")</f>
        <v>#REF!</v>
      </c>
      <c r="FQ22" t="e">
        <f>AND(#REF!,"AAAAAH/j+6w=")</f>
        <v>#REF!</v>
      </c>
      <c r="FR22" t="e">
        <f>AND(#REF!,"AAAAAH/j+60=")</f>
        <v>#REF!</v>
      </c>
      <c r="FS22" t="e">
        <f>AND(#REF!,"AAAAAH/j+64=")</f>
        <v>#REF!</v>
      </c>
      <c r="FT22" t="e">
        <f>AND(#REF!,"AAAAAH/j+68=")</f>
        <v>#REF!</v>
      </c>
      <c r="FU22" t="e">
        <f>IF(#REF!,"AAAAAH/j+7A=",0)</f>
        <v>#REF!</v>
      </c>
      <c r="FV22" t="e">
        <f>AND(#REF!,"AAAAAH/j+7E=")</f>
        <v>#REF!</v>
      </c>
      <c r="FW22" t="e">
        <f>AND(#REF!,"AAAAAH/j+7I=")</f>
        <v>#REF!</v>
      </c>
      <c r="FX22" t="e">
        <f>AND(#REF!,"AAAAAH/j+7M=")</f>
        <v>#REF!</v>
      </c>
      <c r="FY22" t="e">
        <f>AND(#REF!,"AAAAAH/j+7Q=")</f>
        <v>#REF!</v>
      </c>
      <c r="FZ22" t="e">
        <f>AND(#REF!,"AAAAAH/j+7U=")</f>
        <v>#REF!</v>
      </c>
      <c r="GA22" t="e">
        <f>AND(#REF!,"AAAAAH/j+7Y=")</f>
        <v>#REF!</v>
      </c>
      <c r="GB22" t="e">
        <f>AND(#REF!,"AAAAAH/j+7c=")</f>
        <v>#REF!</v>
      </c>
      <c r="GC22" t="e">
        <f>AND(#REF!,"AAAAAH/j+7g=")</f>
        <v>#REF!</v>
      </c>
      <c r="GD22" t="e">
        <f>AND(#REF!,"AAAAAH/j+7k=")</f>
        <v>#REF!</v>
      </c>
      <c r="GE22" t="e">
        <f>AND(#REF!,"AAAAAH/j+7o=")</f>
        <v>#REF!</v>
      </c>
      <c r="GF22" t="e">
        <f>AND(#REF!,"AAAAAH/j+7s=")</f>
        <v>#REF!</v>
      </c>
      <c r="GG22" t="e">
        <f>AND(#REF!,"AAAAAH/j+7w=")</f>
        <v>#REF!</v>
      </c>
      <c r="GH22" t="e">
        <f>AND(#REF!,"AAAAAH/j+70=")</f>
        <v>#REF!</v>
      </c>
      <c r="GI22" t="e">
        <f>AND(#REF!,"AAAAAH/j+74=")</f>
        <v>#REF!</v>
      </c>
      <c r="GJ22" t="e">
        <f>AND(#REF!,"AAAAAH/j+78=")</f>
        <v>#REF!</v>
      </c>
      <c r="GK22" t="e">
        <f>AND(#REF!,"AAAAAH/j+8A=")</f>
        <v>#REF!</v>
      </c>
      <c r="GL22" t="e">
        <f>AND(#REF!,"AAAAAH/j+8E=")</f>
        <v>#REF!</v>
      </c>
      <c r="GM22" t="e">
        <f>AND(#REF!,"AAAAAH/j+8I=")</f>
        <v>#REF!</v>
      </c>
      <c r="GN22" t="e">
        <f>AND(#REF!,"AAAAAH/j+8M=")</f>
        <v>#REF!</v>
      </c>
      <c r="GO22" t="e">
        <f>AND(#REF!,"AAAAAH/j+8Q=")</f>
        <v>#REF!</v>
      </c>
      <c r="GP22" t="e">
        <f>IF(#REF!,"AAAAAH/j+8U=",0)</f>
        <v>#REF!</v>
      </c>
      <c r="GQ22" t="e">
        <f>AND(#REF!,"AAAAAH/j+8Y=")</f>
        <v>#REF!</v>
      </c>
      <c r="GR22" t="e">
        <f>AND(#REF!,"AAAAAH/j+8c=")</f>
        <v>#REF!</v>
      </c>
      <c r="GS22" t="e">
        <f>AND(#REF!,"AAAAAH/j+8g=")</f>
        <v>#REF!</v>
      </c>
      <c r="GT22" t="e">
        <f>AND(#REF!,"AAAAAH/j+8k=")</f>
        <v>#REF!</v>
      </c>
      <c r="GU22" t="e">
        <f>AND(#REF!,"AAAAAH/j+8o=")</f>
        <v>#REF!</v>
      </c>
      <c r="GV22" t="e">
        <f>AND(#REF!,"AAAAAH/j+8s=")</f>
        <v>#REF!</v>
      </c>
      <c r="GW22" t="e">
        <f>AND(#REF!,"AAAAAH/j+8w=")</f>
        <v>#REF!</v>
      </c>
      <c r="GX22" t="e">
        <f>AND(#REF!,"AAAAAH/j+80=")</f>
        <v>#REF!</v>
      </c>
      <c r="GY22" t="e">
        <f>AND(#REF!,"AAAAAH/j+84=")</f>
        <v>#REF!</v>
      </c>
      <c r="GZ22" t="e">
        <f>AND(#REF!,"AAAAAH/j+88=")</f>
        <v>#REF!</v>
      </c>
      <c r="HA22" t="e">
        <f>AND(#REF!,"AAAAAH/j+9A=")</f>
        <v>#REF!</v>
      </c>
      <c r="HB22" t="e">
        <f>AND(#REF!,"AAAAAH/j+9E=")</f>
        <v>#REF!</v>
      </c>
      <c r="HC22" t="e">
        <f>AND(#REF!,"AAAAAH/j+9I=")</f>
        <v>#REF!</v>
      </c>
      <c r="HD22" t="e">
        <f>AND(#REF!,"AAAAAH/j+9M=")</f>
        <v>#REF!</v>
      </c>
      <c r="HE22" t="e">
        <f>AND(#REF!,"AAAAAH/j+9Q=")</f>
        <v>#REF!</v>
      </c>
      <c r="HF22" t="e">
        <f>AND(#REF!,"AAAAAH/j+9U=")</f>
        <v>#REF!</v>
      </c>
      <c r="HG22" t="e">
        <f>AND(#REF!,"AAAAAH/j+9Y=")</f>
        <v>#REF!</v>
      </c>
      <c r="HH22" t="e">
        <f>AND(#REF!,"AAAAAH/j+9c=")</f>
        <v>#REF!</v>
      </c>
      <c r="HI22" t="e">
        <f>AND(#REF!,"AAAAAH/j+9g=")</f>
        <v>#REF!</v>
      </c>
      <c r="HJ22" t="e">
        <f>AND(#REF!,"AAAAAH/j+9k=")</f>
        <v>#REF!</v>
      </c>
      <c r="HK22" t="e">
        <f>IF(#REF!,"AAAAAH/j+9o=",0)</f>
        <v>#REF!</v>
      </c>
      <c r="HL22" t="e">
        <f>AND(#REF!,"AAAAAH/j+9s=")</f>
        <v>#REF!</v>
      </c>
      <c r="HM22" t="e">
        <f>AND(#REF!,"AAAAAH/j+9w=")</f>
        <v>#REF!</v>
      </c>
      <c r="HN22" t="e">
        <f>AND(#REF!,"AAAAAH/j+90=")</f>
        <v>#REF!</v>
      </c>
      <c r="HO22" t="e">
        <f>AND(#REF!,"AAAAAH/j+94=")</f>
        <v>#REF!</v>
      </c>
      <c r="HP22" t="e">
        <f>AND(#REF!,"AAAAAH/j+98=")</f>
        <v>#REF!</v>
      </c>
      <c r="HQ22" t="e">
        <f>AND(#REF!,"AAAAAH/j++A=")</f>
        <v>#REF!</v>
      </c>
      <c r="HR22" t="e">
        <f>AND(#REF!,"AAAAAH/j++E=")</f>
        <v>#REF!</v>
      </c>
      <c r="HS22" t="e">
        <f>AND(#REF!,"AAAAAH/j++I=")</f>
        <v>#REF!</v>
      </c>
      <c r="HT22" t="e">
        <f>AND(#REF!,"AAAAAH/j++M=")</f>
        <v>#REF!</v>
      </c>
      <c r="HU22" t="e">
        <f>AND(#REF!,"AAAAAH/j++Q=")</f>
        <v>#REF!</v>
      </c>
      <c r="HV22" t="e">
        <f>AND(#REF!,"AAAAAH/j++U=")</f>
        <v>#REF!</v>
      </c>
      <c r="HW22" t="e">
        <f>AND(#REF!,"AAAAAH/j++Y=")</f>
        <v>#REF!</v>
      </c>
      <c r="HX22" t="e">
        <f>AND(#REF!,"AAAAAH/j++c=")</f>
        <v>#REF!</v>
      </c>
      <c r="HY22" t="e">
        <f>AND(#REF!,"AAAAAH/j++g=")</f>
        <v>#REF!</v>
      </c>
      <c r="HZ22" t="e">
        <f>AND(#REF!,"AAAAAH/j++k=")</f>
        <v>#REF!</v>
      </c>
      <c r="IA22" t="e">
        <f>AND(#REF!,"AAAAAH/j++o=")</f>
        <v>#REF!</v>
      </c>
      <c r="IB22" t="e">
        <f>AND(#REF!,"AAAAAH/j++s=")</f>
        <v>#REF!</v>
      </c>
      <c r="IC22" t="e">
        <f>AND(#REF!,"AAAAAH/j++w=")</f>
        <v>#REF!</v>
      </c>
      <c r="ID22" t="e">
        <f>AND(#REF!,"AAAAAH/j++0=")</f>
        <v>#REF!</v>
      </c>
      <c r="IE22" t="e">
        <f>AND(#REF!,"AAAAAH/j++4=")</f>
        <v>#REF!</v>
      </c>
      <c r="IF22" t="e">
        <f>IF(#REF!,"AAAAAH/j++8=",0)</f>
        <v>#REF!</v>
      </c>
      <c r="IG22" t="e">
        <f>AND(#REF!,"AAAAAH/j+/A=")</f>
        <v>#REF!</v>
      </c>
      <c r="IH22" t="e">
        <f>AND(#REF!,"AAAAAH/j+/E=")</f>
        <v>#REF!</v>
      </c>
      <c r="II22" t="e">
        <f>AND(#REF!,"AAAAAH/j+/I=")</f>
        <v>#REF!</v>
      </c>
      <c r="IJ22" t="e">
        <f>AND(#REF!,"AAAAAH/j+/M=")</f>
        <v>#REF!</v>
      </c>
      <c r="IK22" t="e">
        <f>AND(#REF!,"AAAAAH/j+/Q=")</f>
        <v>#REF!</v>
      </c>
      <c r="IL22" t="e">
        <f>AND(#REF!,"AAAAAH/j+/U=")</f>
        <v>#REF!</v>
      </c>
      <c r="IM22" t="e">
        <f>AND(#REF!,"AAAAAH/j+/Y=")</f>
        <v>#REF!</v>
      </c>
      <c r="IN22" t="e">
        <f>AND(#REF!,"AAAAAH/j+/c=")</f>
        <v>#REF!</v>
      </c>
      <c r="IO22" t="e">
        <f>AND(#REF!,"AAAAAH/j+/g=")</f>
        <v>#REF!</v>
      </c>
      <c r="IP22" t="e">
        <f>AND(#REF!,"AAAAAH/j+/k=")</f>
        <v>#REF!</v>
      </c>
      <c r="IQ22" t="e">
        <f>AND(#REF!,"AAAAAH/j+/o=")</f>
        <v>#REF!</v>
      </c>
      <c r="IR22" t="e">
        <f>AND(#REF!,"AAAAAH/j+/s=")</f>
        <v>#REF!</v>
      </c>
      <c r="IS22" t="e">
        <f>AND(#REF!,"AAAAAH/j+/w=")</f>
        <v>#REF!</v>
      </c>
      <c r="IT22" t="e">
        <f>AND(#REF!,"AAAAAH/j+/0=")</f>
        <v>#REF!</v>
      </c>
      <c r="IU22" t="e">
        <f>AND(#REF!,"AAAAAH/j+/4=")</f>
        <v>#REF!</v>
      </c>
      <c r="IV22" t="e">
        <f>AND(#REF!,"AAAAAH/j+/8=")</f>
        <v>#REF!</v>
      </c>
    </row>
    <row r="23" spans="1:256">
      <c r="A23" t="e">
        <f>AND(#REF!,"AAAAAH/v5wA=")</f>
        <v>#REF!</v>
      </c>
      <c r="B23" t="e">
        <f>AND(#REF!,"AAAAAH/v5wE=")</f>
        <v>#REF!</v>
      </c>
      <c r="C23" t="e">
        <f>AND(#REF!,"AAAAAH/v5wI=")</f>
        <v>#REF!</v>
      </c>
      <c r="D23" t="e">
        <f>AND(#REF!,"AAAAAH/v5wM=")</f>
        <v>#REF!</v>
      </c>
      <c r="E23" t="e">
        <f>IF(#REF!,"AAAAAH/v5wQ=",0)</f>
        <v>#REF!</v>
      </c>
      <c r="F23" t="e">
        <f>AND(#REF!,"AAAAAH/v5wU=")</f>
        <v>#REF!</v>
      </c>
      <c r="G23" t="e">
        <f>AND(#REF!,"AAAAAH/v5wY=")</f>
        <v>#REF!</v>
      </c>
      <c r="H23" t="e">
        <f>AND(#REF!,"AAAAAH/v5wc=")</f>
        <v>#REF!</v>
      </c>
      <c r="I23" t="e">
        <f>AND(#REF!,"AAAAAH/v5wg=")</f>
        <v>#REF!</v>
      </c>
      <c r="J23" t="e">
        <f>AND(#REF!,"AAAAAH/v5wk=")</f>
        <v>#REF!</v>
      </c>
      <c r="K23" t="e">
        <f>AND(#REF!,"AAAAAH/v5wo=")</f>
        <v>#REF!</v>
      </c>
      <c r="L23" t="e">
        <f>AND(#REF!,"AAAAAH/v5ws=")</f>
        <v>#REF!</v>
      </c>
      <c r="M23" t="e">
        <f>AND(#REF!,"AAAAAH/v5ww=")</f>
        <v>#REF!</v>
      </c>
      <c r="N23" t="e">
        <f>AND(#REF!,"AAAAAH/v5w0=")</f>
        <v>#REF!</v>
      </c>
      <c r="O23" t="e">
        <f>AND(#REF!,"AAAAAH/v5w4=")</f>
        <v>#REF!</v>
      </c>
      <c r="P23" t="e">
        <f>AND(#REF!,"AAAAAH/v5w8=")</f>
        <v>#REF!</v>
      </c>
      <c r="Q23" t="e">
        <f>AND(#REF!,"AAAAAH/v5xA=")</f>
        <v>#REF!</v>
      </c>
      <c r="R23" t="e">
        <f>AND(#REF!,"AAAAAH/v5xE=")</f>
        <v>#REF!</v>
      </c>
      <c r="S23" t="e">
        <f>AND(#REF!,"AAAAAH/v5xI=")</f>
        <v>#REF!</v>
      </c>
      <c r="T23" t="e">
        <f>AND(#REF!,"AAAAAH/v5xM=")</f>
        <v>#REF!</v>
      </c>
      <c r="U23" t="e">
        <f>AND(#REF!,"AAAAAH/v5xQ=")</f>
        <v>#REF!</v>
      </c>
      <c r="V23" t="e">
        <f>AND(#REF!,"AAAAAH/v5xU=")</f>
        <v>#REF!</v>
      </c>
      <c r="W23" t="e">
        <f>AND(#REF!,"AAAAAH/v5xY=")</f>
        <v>#REF!</v>
      </c>
      <c r="X23" t="e">
        <f>AND(#REF!,"AAAAAH/v5xc=")</f>
        <v>#REF!</v>
      </c>
      <c r="Y23" t="e">
        <f>AND(#REF!,"AAAAAH/v5xg=")</f>
        <v>#REF!</v>
      </c>
      <c r="Z23" t="e">
        <f>IF(#REF!,"AAAAAH/v5xk=",0)</f>
        <v>#REF!</v>
      </c>
      <c r="AA23" t="e">
        <f>AND(#REF!,"AAAAAH/v5xo=")</f>
        <v>#REF!</v>
      </c>
      <c r="AB23" t="e">
        <f>AND(#REF!,"AAAAAH/v5xs=")</f>
        <v>#REF!</v>
      </c>
      <c r="AC23" t="e">
        <f>AND(#REF!,"AAAAAH/v5xw=")</f>
        <v>#REF!</v>
      </c>
      <c r="AD23" t="e">
        <f>AND(#REF!,"AAAAAH/v5x0=")</f>
        <v>#REF!</v>
      </c>
      <c r="AE23" t="e">
        <f>AND(#REF!,"AAAAAH/v5x4=")</f>
        <v>#REF!</v>
      </c>
      <c r="AF23" t="e">
        <f>AND(#REF!,"AAAAAH/v5x8=")</f>
        <v>#REF!</v>
      </c>
      <c r="AG23" t="e">
        <f>AND(#REF!,"AAAAAH/v5yA=")</f>
        <v>#REF!</v>
      </c>
      <c r="AH23" t="e">
        <f>AND(#REF!,"AAAAAH/v5yE=")</f>
        <v>#REF!</v>
      </c>
      <c r="AI23" t="e">
        <f>AND(#REF!,"AAAAAH/v5yI=")</f>
        <v>#REF!</v>
      </c>
      <c r="AJ23" t="e">
        <f>AND(#REF!,"AAAAAH/v5yM=")</f>
        <v>#REF!</v>
      </c>
      <c r="AK23" t="e">
        <f>AND(#REF!,"AAAAAH/v5yQ=")</f>
        <v>#REF!</v>
      </c>
      <c r="AL23" t="e">
        <f>AND(#REF!,"AAAAAH/v5yU=")</f>
        <v>#REF!</v>
      </c>
      <c r="AM23" t="e">
        <f>AND(#REF!,"AAAAAH/v5yY=")</f>
        <v>#REF!</v>
      </c>
      <c r="AN23" t="e">
        <f>AND(#REF!,"AAAAAH/v5yc=")</f>
        <v>#REF!</v>
      </c>
      <c r="AO23" t="e">
        <f>AND(#REF!,"AAAAAH/v5yg=")</f>
        <v>#REF!</v>
      </c>
      <c r="AP23" t="e">
        <f>AND(#REF!,"AAAAAH/v5yk=")</f>
        <v>#REF!</v>
      </c>
      <c r="AQ23" t="e">
        <f>AND(#REF!,"AAAAAH/v5yo=")</f>
        <v>#REF!</v>
      </c>
      <c r="AR23" t="e">
        <f>AND(#REF!,"AAAAAH/v5ys=")</f>
        <v>#REF!</v>
      </c>
      <c r="AS23" t="e">
        <f>AND(#REF!,"AAAAAH/v5yw=")</f>
        <v>#REF!</v>
      </c>
      <c r="AT23" t="e">
        <f>AND(#REF!,"AAAAAH/v5y0=")</f>
        <v>#REF!</v>
      </c>
      <c r="AU23" t="e">
        <f>IF(#REF!,"AAAAAH/v5y4=",0)</f>
        <v>#REF!</v>
      </c>
      <c r="AV23" t="e">
        <f>AND(#REF!,"AAAAAH/v5y8=")</f>
        <v>#REF!</v>
      </c>
      <c r="AW23" t="e">
        <f>AND(#REF!,"AAAAAH/v5zA=")</f>
        <v>#REF!</v>
      </c>
      <c r="AX23" t="e">
        <f>AND(#REF!,"AAAAAH/v5zE=")</f>
        <v>#REF!</v>
      </c>
      <c r="AY23" t="e">
        <f>AND(#REF!,"AAAAAH/v5zI=")</f>
        <v>#REF!</v>
      </c>
      <c r="AZ23" t="e">
        <f>AND(#REF!,"AAAAAH/v5zM=")</f>
        <v>#REF!</v>
      </c>
      <c r="BA23" t="e">
        <f>AND(#REF!,"AAAAAH/v5zQ=")</f>
        <v>#REF!</v>
      </c>
      <c r="BB23" t="e">
        <f>AND(#REF!,"AAAAAH/v5zU=")</f>
        <v>#REF!</v>
      </c>
      <c r="BC23" t="e">
        <f>AND(#REF!,"AAAAAH/v5zY=")</f>
        <v>#REF!</v>
      </c>
      <c r="BD23" t="e">
        <f>AND(#REF!,"AAAAAH/v5zc=")</f>
        <v>#REF!</v>
      </c>
      <c r="BE23" t="e">
        <f>AND(#REF!,"AAAAAH/v5zg=")</f>
        <v>#REF!</v>
      </c>
      <c r="BF23" t="e">
        <f>AND(#REF!,"AAAAAH/v5zk=")</f>
        <v>#REF!</v>
      </c>
      <c r="BG23" t="e">
        <f>AND(#REF!,"AAAAAH/v5zo=")</f>
        <v>#REF!</v>
      </c>
      <c r="BH23" t="e">
        <f>AND(#REF!,"AAAAAH/v5zs=")</f>
        <v>#REF!</v>
      </c>
      <c r="BI23" t="e">
        <f>AND(#REF!,"AAAAAH/v5zw=")</f>
        <v>#REF!</v>
      </c>
      <c r="BJ23" t="e">
        <f>AND(#REF!,"AAAAAH/v5z0=")</f>
        <v>#REF!</v>
      </c>
      <c r="BK23" t="e">
        <f>AND(#REF!,"AAAAAH/v5z4=")</f>
        <v>#REF!</v>
      </c>
      <c r="BL23" t="e">
        <f>AND(#REF!,"AAAAAH/v5z8=")</f>
        <v>#REF!</v>
      </c>
      <c r="BM23" t="e">
        <f>AND(#REF!,"AAAAAH/v50A=")</f>
        <v>#REF!</v>
      </c>
      <c r="BN23" t="e">
        <f>AND(#REF!,"AAAAAH/v50E=")</f>
        <v>#REF!</v>
      </c>
      <c r="BO23" t="e">
        <f>AND(#REF!,"AAAAAH/v50I=")</f>
        <v>#REF!</v>
      </c>
      <c r="BP23" t="e">
        <f>IF(#REF!,"AAAAAH/v50M=",0)</f>
        <v>#REF!</v>
      </c>
      <c r="BQ23" t="e">
        <f>AND(#REF!,"AAAAAH/v50Q=")</f>
        <v>#REF!</v>
      </c>
      <c r="BR23" t="e">
        <f>AND(#REF!,"AAAAAH/v50U=")</f>
        <v>#REF!</v>
      </c>
      <c r="BS23" t="e">
        <f>AND(#REF!,"AAAAAH/v50Y=")</f>
        <v>#REF!</v>
      </c>
      <c r="BT23" t="e">
        <f>AND(#REF!,"AAAAAH/v50c=")</f>
        <v>#REF!</v>
      </c>
      <c r="BU23" t="e">
        <f>AND(#REF!,"AAAAAH/v50g=")</f>
        <v>#REF!</v>
      </c>
      <c r="BV23" t="e">
        <f>AND(#REF!,"AAAAAH/v50k=")</f>
        <v>#REF!</v>
      </c>
      <c r="BW23" t="e">
        <f>AND(#REF!,"AAAAAH/v50o=")</f>
        <v>#REF!</v>
      </c>
      <c r="BX23" t="e">
        <f>AND(#REF!,"AAAAAH/v50s=")</f>
        <v>#REF!</v>
      </c>
      <c r="BY23" t="e">
        <f>AND(#REF!,"AAAAAH/v50w=")</f>
        <v>#REF!</v>
      </c>
      <c r="BZ23" t="e">
        <f>AND(#REF!,"AAAAAH/v500=")</f>
        <v>#REF!</v>
      </c>
      <c r="CA23" t="e">
        <f>AND(#REF!,"AAAAAH/v504=")</f>
        <v>#REF!</v>
      </c>
      <c r="CB23" t="e">
        <f>AND(#REF!,"AAAAAH/v508=")</f>
        <v>#REF!</v>
      </c>
      <c r="CC23" t="e">
        <f>AND(#REF!,"AAAAAH/v51A=")</f>
        <v>#REF!</v>
      </c>
      <c r="CD23" t="e">
        <f>AND(#REF!,"AAAAAH/v51E=")</f>
        <v>#REF!</v>
      </c>
      <c r="CE23" t="e">
        <f>AND(#REF!,"AAAAAH/v51I=")</f>
        <v>#REF!</v>
      </c>
      <c r="CF23" t="e">
        <f>AND(#REF!,"AAAAAH/v51M=")</f>
        <v>#REF!</v>
      </c>
      <c r="CG23" t="e">
        <f>AND(#REF!,"AAAAAH/v51Q=")</f>
        <v>#REF!</v>
      </c>
      <c r="CH23" t="e">
        <f>AND(#REF!,"AAAAAH/v51U=")</f>
        <v>#REF!</v>
      </c>
      <c r="CI23" t="e">
        <f>AND(#REF!,"AAAAAH/v51Y=")</f>
        <v>#REF!</v>
      </c>
      <c r="CJ23" t="e">
        <f>AND(#REF!,"AAAAAH/v51c=")</f>
        <v>#REF!</v>
      </c>
      <c r="CK23" t="e">
        <f>IF(#REF!,"AAAAAH/v51g=",0)</f>
        <v>#REF!</v>
      </c>
      <c r="CL23" t="e">
        <f>AND(#REF!,"AAAAAH/v51k=")</f>
        <v>#REF!</v>
      </c>
      <c r="CM23" t="e">
        <f>AND(#REF!,"AAAAAH/v51o=")</f>
        <v>#REF!</v>
      </c>
      <c r="CN23" t="e">
        <f>AND(#REF!,"AAAAAH/v51s=")</f>
        <v>#REF!</v>
      </c>
      <c r="CO23" t="e">
        <f>AND(#REF!,"AAAAAH/v51w=")</f>
        <v>#REF!</v>
      </c>
      <c r="CP23" t="e">
        <f>AND(#REF!,"AAAAAH/v510=")</f>
        <v>#REF!</v>
      </c>
      <c r="CQ23" t="e">
        <f>AND(#REF!,"AAAAAH/v514=")</f>
        <v>#REF!</v>
      </c>
      <c r="CR23" t="e">
        <f>AND(#REF!,"AAAAAH/v518=")</f>
        <v>#REF!</v>
      </c>
      <c r="CS23" t="e">
        <f>AND(#REF!,"AAAAAH/v52A=")</f>
        <v>#REF!</v>
      </c>
      <c r="CT23" t="e">
        <f>AND(#REF!,"AAAAAH/v52E=")</f>
        <v>#REF!</v>
      </c>
      <c r="CU23" t="e">
        <f>AND(#REF!,"AAAAAH/v52I=")</f>
        <v>#REF!</v>
      </c>
      <c r="CV23" t="e">
        <f>AND(#REF!,"AAAAAH/v52M=")</f>
        <v>#REF!</v>
      </c>
      <c r="CW23" t="e">
        <f>AND(#REF!,"AAAAAH/v52Q=")</f>
        <v>#REF!</v>
      </c>
      <c r="CX23" t="e">
        <f>AND(#REF!,"AAAAAH/v52U=")</f>
        <v>#REF!</v>
      </c>
      <c r="CY23" t="e">
        <f>AND(#REF!,"AAAAAH/v52Y=")</f>
        <v>#REF!</v>
      </c>
      <c r="CZ23" t="e">
        <f>AND(#REF!,"AAAAAH/v52c=")</f>
        <v>#REF!</v>
      </c>
      <c r="DA23" t="e">
        <f>AND(#REF!,"AAAAAH/v52g=")</f>
        <v>#REF!</v>
      </c>
      <c r="DB23" t="e">
        <f>AND(#REF!,"AAAAAH/v52k=")</f>
        <v>#REF!</v>
      </c>
      <c r="DC23" t="e">
        <f>AND(#REF!,"AAAAAH/v52o=")</f>
        <v>#REF!</v>
      </c>
      <c r="DD23" t="e">
        <f>AND(#REF!,"AAAAAH/v52s=")</f>
        <v>#REF!</v>
      </c>
      <c r="DE23" t="e">
        <f>AND(#REF!,"AAAAAH/v52w=")</f>
        <v>#REF!</v>
      </c>
      <c r="DF23" t="e">
        <f>IF(#REF!,"AAAAAH/v520=",0)</f>
        <v>#REF!</v>
      </c>
      <c r="DG23" t="e">
        <f>AND(#REF!,"AAAAAH/v524=")</f>
        <v>#REF!</v>
      </c>
      <c r="DH23" t="e">
        <f>AND(#REF!,"AAAAAH/v528=")</f>
        <v>#REF!</v>
      </c>
      <c r="DI23" t="e">
        <f>AND(#REF!,"AAAAAH/v53A=")</f>
        <v>#REF!</v>
      </c>
      <c r="DJ23" t="e">
        <f>AND(#REF!,"AAAAAH/v53E=")</f>
        <v>#REF!</v>
      </c>
      <c r="DK23" t="e">
        <f>AND(#REF!,"AAAAAH/v53I=")</f>
        <v>#REF!</v>
      </c>
      <c r="DL23" t="e">
        <f>AND(#REF!,"AAAAAH/v53M=")</f>
        <v>#REF!</v>
      </c>
      <c r="DM23" t="e">
        <f>AND(#REF!,"AAAAAH/v53Q=")</f>
        <v>#REF!</v>
      </c>
      <c r="DN23" t="e">
        <f>AND(#REF!,"AAAAAH/v53U=")</f>
        <v>#REF!</v>
      </c>
      <c r="DO23" t="e">
        <f>AND(#REF!,"AAAAAH/v53Y=")</f>
        <v>#REF!</v>
      </c>
      <c r="DP23" t="e">
        <f>AND(#REF!,"AAAAAH/v53c=")</f>
        <v>#REF!</v>
      </c>
      <c r="DQ23" t="e">
        <f>AND(#REF!,"AAAAAH/v53g=")</f>
        <v>#REF!</v>
      </c>
      <c r="DR23" t="e">
        <f>AND(#REF!,"AAAAAH/v53k=")</f>
        <v>#REF!</v>
      </c>
      <c r="DS23" t="e">
        <f>AND(#REF!,"AAAAAH/v53o=")</f>
        <v>#REF!</v>
      </c>
      <c r="DT23" t="e">
        <f>AND(#REF!,"AAAAAH/v53s=")</f>
        <v>#REF!</v>
      </c>
      <c r="DU23" t="e">
        <f>AND(#REF!,"AAAAAH/v53w=")</f>
        <v>#REF!</v>
      </c>
      <c r="DV23" t="e">
        <f>AND(#REF!,"AAAAAH/v530=")</f>
        <v>#REF!</v>
      </c>
      <c r="DW23" t="e">
        <f>AND(#REF!,"AAAAAH/v534=")</f>
        <v>#REF!</v>
      </c>
      <c r="DX23" t="e">
        <f>AND(#REF!,"AAAAAH/v538=")</f>
        <v>#REF!</v>
      </c>
      <c r="DY23" t="e">
        <f>AND(#REF!,"AAAAAH/v54A=")</f>
        <v>#REF!</v>
      </c>
      <c r="DZ23" t="e">
        <f>AND(#REF!,"AAAAAH/v54E=")</f>
        <v>#REF!</v>
      </c>
      <c r="EA23" t="e">
        <f>IF(#REF!,"AAAAAH/v54I=",0)</f>
        <v>#REF!</v>
      </c>
      <c r="EB23" t="e">
        <f>AND(#REF!,"AAAAAH/v54M=")</f>
        <v>#REF!</v>
      </c>
      <c r="EC23" t="e">
        <f>AND(#REF!,"AAAAAH/v54Q=")</f>
        <v>#REF!</v>
      </c>
      <c r="ED23" t="e">
        <f>AND(#REF!,"AAAAAH/v54U=")</f>
        <v>#REF!</v>
      </c>
      <c r="EE23" t="e">
        <f>AND(#REF!,"AAAAAH/v54Y=")</f>
        <v>#REF!</v>
      </c>
      <c r="EF23" t="e">
        <f>AND(#REF!,"AAAAAH/v54c=")</f>
        <v>#REF!</v>
      </c>
      <c r="EG23" t="e">
        <f>AND(#REF!,"AAAAAH/v54g=")</f>
        <v>#REF!</v>
      </c>
      <c r="EH23" t="e">
        <f>AND(#REF!,"AAAAAH/v54k=")</f>
        <v>#REF!</v>
      </c>
      <c r="EI23" t="e">
        <f>AND(#REF!,"AAAAAH/v54o=")</f>
        <v>#REF!</v>
      </c>
      <c r="EJ23" t="e">
        <f>AND(#REF!,"AAAAAH/v54s=")</f>
        <v>#REF!</v>
      </c>
      <c r="EK23" t="e">
        <f>AND(#REF!,"AAAAAH/v54w=")</f>
        <v>#REF!</v>
      </c>
      <c r="EL23" t="e">
        <f>AND(#REF!,"AAAAAH/v540=")</f>
        <v>#REF!</v>
      </c>
      <c r="EM23" t="e">
        <f>AND(#REF!,"AAAAAH/v544=")</f>
        <v>#REF!</v>
      </c>
      <c r="EN23" t="e">
        <f>AND(#REF!,"AAAAAH/v548=")</f>
        <v>#REF!</v>
      </c>
      <c r="EO23" t="e">
        <f>AND(#REF!,"AAAAAH/v55A=")</f>
        <v>#REF!</v>
      </c>
      <c r="EP23" t="e">
        <f>AND(#REF!,"AAAAAH/v55E=")</f>
        <v>#REF!</v>
      </c>
      <c r="EQ23" t="e">
        <f>AND(#REF!,"AAAAAH/v55I=")</f>
        <v>#REF!</v>
      </c>
      <c r="ER23" t="e">
        <f>AND(#REF!,"AAAAAH/v55M=")</f>
        <v>#REF!</v>
      </c>
      <c r="ES23" t="e">
        <f>AND(#REF!,"AAAAAH/v55Q=")</f>
        <v>#REF!</v>
      </c>
      <c r="ET23" t="e">
        <f>AND(#REF!,"AAAAAH/v55U=")</f>
        <v>#REF!</v>
      </c>
      <c r="EU23" t="e">
        <f>AND(#REF!,"AAAAAH/v55Y=")</f>
        <v>#REF!</v>
      </c>
      <c r="EV23" t="e">
        <f>IF(#REF!,"AAAAAH/v55c=",0)</f>
        <v>#REF!</v>
      </c>
      <c r="EW23" t="e">
        <f>AND(#REF!,"AAAAAH/v55g=")</f>
        <v>#REF!</v>
      </c>
      <c r="EX23" t="e">
        <f>AND(#REF!,"AAAAAH/v55k=")</f>
        <v>#REF!</v>
      </c>
      <c r="EY23" t="e">
        <f>AND(#REF!,"AAAAAH/v55o=")</f>
        <v>#REF!</v>
      </c>
      <c r="EZ23" t="e">
        <f>AND(#REF!,"AAAAAH/v55s=")</f>
        <v>#REF!</v>
      </c>
      <c r="FA23" t="e">
        <f>AND(#REF!,"AAAAAH/v55w=")</f>
        <v>#REF!</v>
      </c>
      <c r="FB23" t="e">
        <f>AND(#REF!,"AAAAAH/v550=")</f>
        <v>#REF!</v>
      </c>
      <c r="FC23" t="e">
        <f>AND(#REF!,"AAAAAH/v554=")</f>
        <v>#REF!</v>
      </c>
      <c r="FD23" t="e">
        <f>AND(#REF!,"AAAAAH/v558=")</f>
        <v>#REF!</v>
      </c>
      <c r="FE23" t="e">
        <f>AND(#REF!,"AAAAAH/v56A=")</f>
        <v>#REF!</v>
      </c>
      <c r="FF23" t="e">
        <f>AND(#REF!,"AAAAAH/v56E=")</f>
        <v>#REF!</v>
      </c>
      <c r="FG23" t="e">
        <f>AND(#REF!,"AAAAAH/v56I=")</f>
        <v>#REF!</v>
      </c>
      <c r="FH23" t="e">
        <f>AND(#REF!,"AAAAAH/v56M=")</f>
        <v>#REF!</v>
      </c>
      <c r="FI23" t="e">
        <f>AND(#REF!,"AAAAAH/v56Q=")</f>
        <v>#REF!</v>
      </c>
      <c r="FJ23" t="e">
        <f>AND(#REF!,"AAAAAH/v56U=")</f>
        <v>#REF!</v>
      </c>
      <c r="FK23" t="e">
        <f>AND(#REF!,"AAAAAH/v56Y=")</f>
        <v>#REF!</v>
      </c>
      <c r="FL23" t="e">
        <f>AND(#REF!,"AAAAAH/v56c=")</f>
        <v>#REF!</v>
      </c>
      <c r="FM23" t="e">
        <f>AND(#REF!,"AAAAAH/v56g=")</f>
        <v>#REF!</v>
      </c>
      <c r="FN23" t="e">
        <f>AND(#REF!,"AAAAAH/v56k=")</f>
        <v>#REF!</v>
      </c>
      <c r="FO23" t="e">
        <f>AND(#REF!,"AAAAAH/v56o=")</f>
        <v>#REF!</v>
      </c>
      <c r="FP23" t="e">
        <f>AND(#REF!,"AAAAAH/v56s=")</f>
        <v>#REF!</v>
      </c>
      <c r="FQ23" t="e">
        <f>IF(#REF!,"AAAAAH/v56w=",0)</f>
        <v>#REF!</v>
      </c>
      <c r="FR23" t="e">
        <f>AND(#REF!,"AAAAAH/v560=")</f>
        <v>#REF!</v>
      </c>
      <c r="FS23" t="e">
        <f>AND(#REF!,"AAAAAH/v564=")</f>
        <v>#REF!</v>
      </c>
      <c r="FT23" t="e">
        <f>AND(#REF!,"AAAAAH/v568=")</f>
        <v>#REF!</v>
      </c>
      <c r="FU23" t="e">
        <f>AND(#REF!,"AAAAAH/v57A=")</f>
        <v>#REF!</v>
      </c>
      <c r="FV23" t="e">
        <f>AND(#REF!,"AAAAAH/v57E=")</f>
        <v>#REF!</v>
      </c>
      <c r="FW23" t="e">
        <f>AND(#REF!,"AAAAAH/v57I=")</f>
        <v>#REF!</v>
      </c>
      <c r="FX23" t="e">
        <f>AND(#REF!,"AAAAAH/v57M=")</f>
        <v>#REF!</v>
      </c>
      <c r="FY23" t="e">
        <f>AND(#REF!,"AAAAAH/v57Q=")</f>
        <v>#REF!</v>
      </c>
      <c r="FZ23" t="e">
        <f>AND(#REF!,"AAAAAH/v57U=")</f>
        <v>#REF!</v>
      </c>
      <c r="GA23" t="e">
        <f>AND(#REF!,"AAAAAH/v57Y=")</f>
        <v>#REF!</v>
      </c>
      <c r="GB23" t="e">
        <f>AND(#REF!,"AAAAAH/v57c=")</f>
        <v>#REF!</v>
      </c>
      <c r="GC23" t="e">
        <f>AND(#REF!,"AAAAAH/v57g=")</f>
        <v>#REF!</v>
      </c>
      <c r="GD23" t="e">
        <f>AND(#REF!,"AAAAAH/v57k=")</f>
        <v>#REF!</v>
      </c>
      <c r="GE23" t="e">
        <f>AND(#REF!,"AAAAAH/v57o=")</f>
        <v>#REF!</v>
      </c>
      <c r="GF23" t="e">
        <f>AND(#REF!,"AAAAAH/v57s=")</f>
        <v>#REF!</v>
      </c>
      <c r="GG23" t="e">
        <f>AND(#REF!,"AAAAAH/v57w=")</f>
        <v>#REF!</v>
      </c>
      <c r="GH23" t="e">
        <f>AND(#REF!,"AAAAAH/v570=")</f>
        <v>#REF!</v>
      </c>
      <c r="GI23" t="e">
        <f>AND(#REF!,"AAAAAH/v574=")</f>
        <v>#REF!</v>
      </c>
      <c r="GJ23" t="e">
        <f>AND(#REF!,"AAAAAH/v578=")</f>
        <v>#REF!</v>
      </c>
      <c r="GK23" t="e">
        <f>AND(#REF!,"AAAAAH/v58A=")</f>
        <v>#REF!</v>
      </c>
      <c r="GL23" t="e">
        <f>IF(#REF!,"AAAAAH/v58E=",0)</f>
        <v>#REF!</v>
      </c>
      <c r="GM23" t="e">
        <f>AND(#REF!,"AAAAAH/v58I=")</f>
        <v>#REF!</v>
      </c>
      <c r="GN23" t="e">
        <f>AND(#REF!,"AAAAAH/v58M=")</f>
        <v>#REF!</v>
      </c>
      <c r="GO23" t="e">
        <f>AND(#REF!,"AAAAAH/v58Q=")</f>
        <v>#REF!</v>
      </c>
      <c r="GP23" t="e">
        <f>AND(#REF!,"AAAAAH/v58U=")</f>
        <v>#REF!</v>
      </c>
      <c r="GQ23" t="e">
        <f>AND(#REF!,"AAAAAH/v58Y=")</f>
        <v>#REF!</v>
      </c>
      <c r="GR23" t="e">
        <f>AND(#REF!,"AAAAAH/v58c=")</f>
        <v>#REF!</v>
      </c>
      <c r="GS23" t="e">
        <f>AND(#REF!,"AAAAAH/v58g=")</f>
        <v>#REF!</v>
      </c>
      <c r="GT23" t="e">
        <f>AND(#REF!,"AAAAAH/v58k=")</f>
        <v>#REF!</v>
      </c>
      <c r="GU23" t="e">
        <f>AND(#REF!,"AAAAAH/v58o=")</f>
        <v>#REF!</v>
      </c>
      <c r="GV23" t="e">
        <f>AND(#REF!,"AAAAAH/v58s=")</f>
        <v>#REF!</v>
      </c>
      <c r="GW23" t="e">
        <f>AND(#REF!,"AAAAAH/v58w=")</f>
        <v>#REF!</v>
      </c>
      <c r="GX23" t="e">
        <f>AND(#REF!,"AAAAAH/v580=")</f>
        <v>#REF!</v>
      </c>
      <c r="GY23" t="e">
        <f>AND(#REF!,"AAAAAH/v584=")</f>
        <v>#REF!</v>
      </c>
      <c r="GZ23" t="e">
        <f>AND(#REF!,"AAAAAH/v588=")</f>
        <v>#REF!</v>
      </c>
      <c r="HA23" t="e">
        <f>AND(#REF!,"AAAAAH/v59A=")</f>
        <v>#REF!</v>
      </c>
      <c r="HB23" t="e">
        <f>AND(#REF!,"AAAAAH/v59E=")</f>
        <v>#REF!</v>
      </c>
      <c r="HC23" t="e">
        <f>AND(#REF!,"AAAAAH/v59I=")</f>
        <v>#REF!</v>
      </c>
      <c r="HD23" t="e">
        <f>AND(#REF!,"AAAAAH/v59M=")</f>
        <v>#REF!</v>
      </c>
      <c r="HE23" t="e">
        <f>AND(#REF!,"AAAAAH/v59Q=")</f>
        <v>#REF!</v>
      </c>
      <c r="HF23" t="e">
        <f>AND(#REF!,"AAAAAH/v59U=")</f>
        <v>#REF!</v>
      </c>
      <c r="HG23" t="e">
        <f>IF(#REF!,"AAAAAH/v59Y=",0)</f>
        <v>#REF!</v>
      </c>
      <c r="HH23" t="e">
        <f>AND(#REF!,"AAAAAH/v59c=")</f>
        <v>#REF!</v>
      </c>
      <c r="HI23" t="e">
        <f>AND(#REF!,"AAAAAH/v59g=")</f>
        <v>#REF!</v>
      </c>
      <c r="HJ23" t="e">
        <f>AND(#REF!,"AAAAAH/v59k=")</f>
        <v>#REF!</v>
      </c>
      <c r="HK23" t="e">
        <f>AND(#REF!,"AAAAAH/v59o=")</f>
        <v>#REF!</v>
      </c>
      <c r="HL23" t="e">
        <f>AND(#REF!,"AAAAAH/v59s=")</f>
        <v>#REF!</v>
      </c>
      <c r="HM23" t="e">
        <f>AND(#REF!,"AAAAAH/v59w=")</f>
        <v>#REF!</v>
      </c>
      <c r="HN23" t="e">
        <f>AND(#REF!,"AAAAAH/v590=")</f>
        <v>#REF!</v>
      </c>
      <c r="HO23" t="e">
        <f>AND(#REF!,"AAAAAH/v594=")</f>
        <v>#REF!</v>
      </c>
      <c r="HP23" t="e">
        <f>AND(#REF!,"AAAAAH/v598=")</f>
        <v>#REF!</v>
      </c>
      <c r="HQ23" t="e">
        <f>AND(#REF!,"AAAAAH/v5+A=")</f>
        <v>#REF!</v>
      </c>
      <c r="HR23" t="e">
        <f>AND(#REF!,"AAAAAH/v5+E=")</f>
        <v>#REF!</v>
      </c>
      <c r="HS23" t="e">
        <f>AND(#REF!,"AAAAAH/v5+I=")</f>
        <v>#REF!</v>
      </c>
      <c r="HT23" t="e">
        <f>AND(#REF!,"AAAAAH/v5+M=")</f>
        <v>#REF!</v>
      </c>
      <c r="HU23" t="e">
        <f>AND(#REF!,"AAAAAH/v5+Q=")</f>
        <v>#REF!</v>
      </c>
      <c r="HV23" t="e">
        <f>AND(#REF!,"AAAAAH/v5+U=")</f>
        <v>#REF!</v>
      </c>
      <c r="HW23" t="e">
        <f>AND(#REF!,"AAAAAH/v5+Y=")</f>
        <v>#REF!</v>
      </c>
      <c r="HX23" t="e">
        <f>AND(#REF!,"AAAAAH/v5+c=")</f>
        <v>#REF!</v>
      </c>
      <c r="HY23" t="e">
        <f>AND(#REF!,"AAAAAH/v5+g=")</f>
        <v>#REF!</v>
      </c>
      <c r="HZ23" t="e">
        <f>AND(#REF!,"AAAAAH/v5+k=")</f>
        <v>#REF!</v>
      </c>
      <c r="IA23" t="e">
        <f>AND(#REF!,"AAAAAH/v5+o=")</f>
        <v>#REF!</v>
      </c>
      <c r="IB23" t="e">
        <f>IF(#REF!,"AAAAAH/v5+s=",0)</f>
        <v>#REF!</v>
      </c>
      <c r="IC23" t="e">
        <f>AND(#REF!,"AAAAAH/v5+w=")</f>
        <v>#REF!</v>
      </c>
      <c r="ID23" t="e">
        <f>AND(#REF!,"AAAAAH/v5+0=")</f>
        <v>#REF!</v>
      </c>
      <c r="IE23" t="e">
        <f>AND(#REF!,"AAAAAH/v5+4=")</f>
        <v>#REF!</v>
      </c>
      <c r="IF23" t="e">
        <f>AND(#REF!,"AAAAAH/v5+8=")</f>
        <v>#REF!</v>
      </c>
      <c r="IG23" t="e">
        <f>AND(#REF!,"AAAAAH/v5/A=")</f>
        <v>#REF!</v>
      </c>
      <c r="IH23" t="e">
        <f>AND(#REF!,"AAAAAH/v5/E=")</f>
        <v>#REF!</v>
      </c>
      <c r="II23" t="e">
        <f>AND(#REF!,"AAAAAH/v5/I=")</f>
        <v>#REF!</v>
      </c>
      <c r="IJ23" t="e">
        <f>AND(#REF!,"AAAAAH/v5/M=")</f>
        <v>#REF!</v>
      </c>
      <c r="IK23" t="e">
        <f>AND(#REF!,"AAAAAH/v5/Q=")</f>
        <v>#REF!</v>
      </c>
      <c r="IL23" t="e">
        <f>AND(#REF!,"AAAAAH/v5/U=")</f>
        <v>#REF!</v>
      </c>
      <c r="IM23" t="e">
        <f>AND(#REF!,"AAAAAH/v5/Y=")</f>
        <v>#REF!</v>
      </c>
      <c r="IN23" t="e">
        <f>AND(#REF!,"AAAAAH/v5/c=")</f>
        <v>#REF!</v>
      </c>
      <c r="IO23" t="e">
        <f>AND(#REF!,"AAAAAH/v5/g=")</f>
        <v>#REF!</v>
      </c>
      <c r="IP23" t="e">
        <f>AND(#REF!,"AAAAAH/v5/k=")</f>
        <v>#REF!</v>
      </c>
      <c r="IQ23" t="e">
        <f>AND(#REF!,"AAAAAH/v5/o=")</f>
        <v>#REF!</v>
      </c>
      <c r="IR23" t="e">
        <f>AND(#REF!,"AAAAAH/v5/s=")</f>
        <v>#REF!</v>
      </c>
      <c r="IS23" t="e">
        <f>AND(#REF!,"AAAAAH/v5/w=")</f>
        <v>#REF!</v>
      </c>
      <c r="IT23" t="e">
        <f>AND(#REF!,"AAAAAH/v5/0=")</f>
        <v>#REF!</v>
      </c>
      <c r="IU23" t="e">
        <f>AND(#REF!,"AAAAAH/v5/4=")</f>
        <v>#REF!</v>
      </c>
      <c r="IV23" t="e">
        <f>AND(#REF!,"AAAAAH/v5/8=")</f>
        <v>#REF!</v>
      </c>
    </row>
    <row r="24" spans="1:256">
      <c r="A24" t="e">
        <f>IF(#REF!,"AAAAAD79+gA=",0)</f>
        <v>#REF!</v>
      </c>
      <c r="B24" t="e">
        <f>AND(#REF!,"AAAAAD79+gE=")</f>
        <v>#REF!</v>
      </c>
      <c r="C24" t="e">
        <f>AND(#REF!,"AAAAAD79+gI=")</f>
        <v>#REF!</v>
      </c>
      <c r="D24" t="e">
        <f>AND(#REF!,"AAAAAD79+gM=")</f>
        <v>#REF!</v>
      </c>
      <c r="E24" t="e">
        <f>AND(#REF!,"AAAAAD79+gQ=")</f>
        <v>#REF!</v>
      </c>
      <c r="F24" t="e">
        <f>AND(#REF!,"AAAAAD79+gU=")</f>
        <v>#REF!</v>
      </c>
      <c r="G24" t="e">
        <f>AND(#REF!,"AAAAAD79+gY=")</f>
        <v>#REF!</v>
      </c>
      <c r="H24" t="e">
        <f>AND(#REF!,"AAAAAD79+gc=")</f>
        <v>#REF!</v>
      </c>
      <c r="I24" t="e">
        <f>AND(#REF!,"AAAAAD79+gg=")</f>
        <v>#REF!</v>
      </c>
      <c r="J24" t="e">
        <f>AND(#REF!,"AAAAAD79+gk=")</f>
        <v>#REF!</v>
      </c>
      <c r="K24" t="e">
        <f>AND(#REF!,"AAAAAD79+go=")</f>
        <v>#REF!</v>
      </c>
      <c r="L24" t="e">
        <f>AND(#REF!,"AAAAAD79+gs=")</f>
        <v>#REF!</v>
      </c>
      <c r="M24" t="e">
        <f>AND(#REF!,"AAAAAD79+gw=")</f>
        <v>#REF!</v>
      </c>
      <c r="N24" t="e">
        <f>AND(#REF!,"AAAAAD79+g0=")</f>
        <v>#REF!</v>
      </c>
      <c r="O24" t="e">
        <f>AND(#REF!,"AAAAAD79+g4=")</f>
        <v>#REF!</v>
      </c>
      <c r="P24" t="e">
        <f>AND(#REF!,"AAAAAD79+g8=")</f>
        <v>#REF!</v>
      </c>
      <c r="Q24" t="e">
        <f>AND(#REF!,"AAAAAD79+hA=")</f>
        <v>#REF!</v>
      </c>
      <c r="R24" t="e">
        <f>AND(#REF!,"AAAAAD79+hE=")</f>
        <v>#REF!</v>
      </c>
      <c r="S24" t="e">
        <f>AND(#REF!,"AAAAAD79+hI=")</f>
        <v>#REF!</v>
      </c>
      <c r="T24" t="e">
        <f>AND(#REF!,"AAAAAD79+hM=")</f>
        <v>#REF!</v>
      </c>
      <c r="U24" t="e">
        <f>AND(#REF!,"AAAAAD79+hQ=")</f>
        <v>#REF!</v>
      </c>
      <c r="V24" t="e">
        <f>IF(#REF!,"AAAAAD79+hU=",0)</f>
        <v>#REF!</v>
      </c>
      <c r="W24" t="e">
        <f>AND(#REF!,"AAAAAD79+hY=")</f>
        <v>#REF!</v>
      </c>
      <c r="X24" t="e">
        <f>AND(#REF!,"AAAAAD79+hc=")</f>
        <v>#REF!</v>
      </c>
      <c r="Y24" t="e">
        <f>AND(#REF!,"AAAAAD79+hg=")</f>
        <v>#REF!</v>
      </c>
      <c r="Z24" t="e">
        <f>AND(#REF!,"AAAAAD79+hk=")</f>
        <v>#REF!</v>
      </c>
      <c r="AA24" t="e">
        <f>AND(#REF!,"AAAAAD79+ho=")</f>
        <v>#REF!</v>
      </c>
      <c r="AB24" t="e">
        <f>AND(#REF!,"AAAAAD79+hs=")</f>
        <v>#REF!</v>
      </c>
      <c r="AC24" t="e">
        <f>AND(#REF!,"AAAAAD79+hw=")</f>
        <v>#REF!</v>
      </c>
      <c r="AD24" t="e">
        <f>AND(#REF!,"AAAAAD79+h0=")</f>
        <v>#REF!</v>
      </c>
      <c r="AE24" t="e">
        <f>AND(#REF!,"AAAAAD79+h4=")</f>
        <v>#REF!</v>
      </c>
      <c r="AF24" t="e">
        <f>AND(#REF!,"AAAAAD79+h8=")</f>
        <v>#REF!</v>
      </c>
      <c r="AG24" t="e">
        <f>AND(#REF!,"AAAAAD79+iA=")</f>
        <v>#REF!</v>
      </c>
      <c r="AH24" t="e">
        <f>AND(#REF!,"AAAAAD79+iE=")</f>
        <v>#REF!</v>
      </c>
      <c r="AI24" t="e">
        <f>AND(#REF!,"AAAAAD79+iI=")</f>
        <v>#REF!</v>
      </c>
      <c r="AJ24" t="e">
        <f>AND(#REF!,"AAAAAD79+iM=")</f>
        <v>#REF!</v>
      </c>
      <c r="AK24" t="e">
        <f>AND(#REF!,"AAAAAD79+iQ=")</f>
        <v>#REF!</v>
      </c>
      <c r="AL24" t="e">
        <f>AND(#REF!,"AAAAAD79+iU=")</f>
        <v>#REF!</v>
      </c>
      <c r="AM24" t="e">
        <f>AND(#REF!,"AAAAAD79+iY=")</f>
        <v>#REF!</v>
      </c>
      <c r="AN24" t="e">
        <f>AND(#REF!,"AAAAAD79+ic=")</f>
        <v>#REF!</v>
      </c>
      <c r="AO24" t="e">
        <f>AND(#REF!,"AAAAAD79+ig=")</f>
        <v>#REF!</v>
      </c>
      <c r="AP24" t="e">
        <f>AND(#REF!,"AAAAAD79+ik=")</f>
        <v>#REF!</v>
      </c>
      <c r="AQ24" t="e">
        <f>IF(#REF!,"AAAAAD79+io=",0)</f>
        <v>#REF!</v>
      </c>
      <c r="AR24" t="e">
        <f>AND(#REF!,"AAAAAD79+is=")</f>
        <v>#REF!</v>
      </c>
      <c r="AS24" t="e">
        <f>AND(#REF!,"AAAAAD79+iw=")</f>
        <v>#REF!</v>
      </c>
      <c r="AT24" t="e">
        <f>AND(#REF!,"AAAAAD79+i0=")</f>
        <v>#REF!</v>
      </c>
      <c r="AU24" t="e">
        <f>AND(#REF!,"AAAAAD79+i4=")</f>
        <v>#REF!</v>
      </c>
      <c r="AV24" t="e">
        <f>AND(#REF!,"AAAAAD79+i8=")</f>
        <v>#REF!</v>
      </c>
      <c r="AW24" t="e">
        <f>AND(#REF!,"AAAAAD79+jA=")</f>
        <v>#REF!</v>
      </c>
      <c r="AX24" t="e">
        <f>AND(#REF!,"AAAAAD79+jE=")</f>
        <v>#REF!</v>
      </c>
      <c r="AY24" t="e">
        <f>AND(#REF!,"AAAAAD79+jI=")</f>
        <v>#REF!</v>
      </c>
      <c r="AZ24" t="e">
        <f>AND(#REF!,"AAAAAD79+jM=")</f>
        <v>#REF!</v>
      </c>
      <c r="BA24" t="e">
        <f>AND(#REF!,"AAAAAD79+jQ=")</f>
        <v>#REF!</v>
      </c>
      <c r="BB24" t="e">
        <f>AND(#REF!,"AAAAAD79+jU=")</f>
        <v>#REF!</v>
      </c>
      <c r="BC24" t="e">
        <f>AND(#REF!,"AAAAAD79+jY=")</f>
        <v>#REF!</v>
      </c>
      <c r="BD24" t="e">
        <f>AND(#REF!,"AAAAAD79+jc=")</f>
        <v>#REF!</v>
      </c>
      <c r="BE24" t="e">
        <f>AND(#REF!,"AAAAAD79+jg=")</f>
        <v>#REF!</v>
      </c>
      <c r="BF24" t="e">
        <f>AND(#REF!,"AAAAAD79+jk=")</f>
        <v>#REF!</v>
      </c>
      <c r="BG24" t="e">
        <f>AND(#REF!,"AAAAAD79+jo=")</f>
        <v>#REF!</v>
      </c>
      <c r="BH24" t="e">
        <f>AND(#REF!,"AAAAAD79+js=")</f>
        <v>#REF!</v>
      </c>
      <c r="BI24" t="e">
        <f>AND(#REF!,"AAAAAD79+jw=")</f>
        <v>#REF!</v>
      </c>
      <c r="BJ24" t="e">
        <f>AND(#REF!,"AAAAAD79+j0=")</f>
        <v>#REF!</v>
      </c>
      <c r="BK24" t="e">
        <f>AND(#REF!,"AAAAAD79+j4=")</f>
        <v>#REF!</v>
      </c>
      <c r="BL24" t="e">
        <f>IF(#REF!,"AAAAAD79+j8=",0)</f>
        <v>#REF!</v>
      </c>
      <c r="BM24" t="e">
        <f>AND(#REF!,"AAAAAD79+kA=")</f>
        <v>#REF!</v>
      </c>
      <c r="BN24" t="e">
        <f>AND(#REF!,"AAAAAD79+kE=")</f>
        <v>#REF!</v>
      </c>
      <c r="BO24" t="e">
        <f>AND(#REF!,"AAAAAD79+kI=")</f>
        <v>#REF!</v>
      </c>
      <c r="BP24" t="e">
        <f>AND(#REF!,"AAAAAD79+kM=")</f>
        <v>#REF!</v>
      </c>
      <c r="BQ24" t="e">
        <f>AND(#REF!,"AAAAAD79+kQ=")</f>
        <v>#REF!</v>
      </c>
      <c r="BR24" t="e">
        <f>AND(#REF!,"AAAAAD79+kU=")</f>
        <v>#REF!</v>
      </c>
      <c r="BS24" t="e">
        <f>AND(#REF!,"AAAAAD79+kY=")</f>
        <v>#REF!</v>
      </c>
      <c r="BT24" t="e">
        <f>AND(#REF!,"AAAAAD79+kc=")</f>
        <v>#REF!</v>
      </c>
      <c r="BU24" t="e">
        <f>AND(#REF!,"AAAAAD79+kg=")</f>
        <v>#REF!</v>
      </c>
      <c r="BV24" t="e">
        <f>AND(#REF!,"AAAAAD79+kk=")</f>
        <v>#REF!</v>
      </c>
      <c r="BW24" t="e">
        <f>AND(#REF!,"AAAAAD79+ko=")</f>
        <v>#REF!</v>
      </c>
      <c r="BX24" t="e">
        <f>AND(#REF!,"AAAAAD79+ks=")</f>
        <v>#REF!</v>
      </c>
      <c r="BY24" t="e">
        <f>AND(#REF!,"AAAAAD79+kw=")</f>
        <v>#REF!</v>
      </c>
      <c r="BZ24" t="e">
        <f>AND(#REF!,"AAAAAD79+k0=")</f>
        <v>#REF!</v>
      </c>
      <c r="CA24" t="e">
        <f>AND(#REF!,"AAAAAD79+k4=")</f>
        <v>#REF!</v>
      </c>
      <c r="CB24" t="e">
        <f>AND(#REF!,"AAAAAD79+k8=")</f>
        <v>#REF!</v>
      </c>
      <c r="CC24" t="e">
        <f>AND(#REF!,"AAAAAD79+lA=")</f>
        <v>#REF!</v>
      </c>
      <c r="CD24" t="e">
        <f>AND(#REF!,"AAAAAD79+lE=")</f>
        <v>#REF!</v>
      </c>
      <c r="CE24" t="e">
        <f>AND(#REF!,"AAAAAD79+lI=")</f>
        <v>#REF!</v>
      </c>
      <c r="CF24" t="e">
        <f>AND(#REF!,"AAAAAD79+lM=")</f>
        <v>#REF!</v>
      </c>
      <c r="CG24" t="e">
        <f>IF(#REF!,"AAAAAD79+lQ=",0)</f>
        <v>#REF!</v>
      </c>
      <c r="CH24" t="e">
        <f>AND(#REF!,"AAAAAD79+lU=")</f>
        <v>#REF!</v>
      </c>
      <c r="CI24" t="e">
        <f>AND(#REF!,"AAAAAD79+lY=")</f>
        <v>#REF!</v>
      </c>
      <c r="CJ24" t="e">
        <f>AND(#REF!,"AAAAAD79+lc=")</f>
        <v>#REF!</v>
      </c>
      <c r="CK24" t="e">
        <f>AND(#REF!,"AAAAAD79+lg=")</f>
        <v>#REF!</v>
      </c>
      <c r="CL24" t="e">
        <f>AND(#REF!,"AAAAAD79+lk=")</f>
        <v>#REF!</v>
      </c>
      <c r="CM24" t="e">
        <f>AND(#REF!,"AAAAAD79+lo=")</f>
        <v>#REF!</v>
      </c>
      <c r="CN24" t="e">
        <f>AND(#REF!,"AAAAAD79+ls=")</f>
        <v>#REF!</v>
      </c>
      <c r="CO24" t="e">
        <f>AND(#REF!,"AAAAAD79+lw=")</f>
        <v>#REF!</v>
      </c>
      <c r="CP24" t="e">
        <f>AND(#REF!,"AAAAAD79+l0=")</f>
        <v>#REF!</v>
      </c>
      <c r="CQ24" t="e">
        <f>AND(#REF!,"AAAAAD79+l4=")</f>
        <v>#REF!</v>
      </c>
      <c r="CR24" t="e">
        <f>AND(#REF!,"AAAAAD79+l8=")</f>
        <v>#REF!</v>
      </c>
      <c r="CS24" t="e">
        <f>AND(#REF!,"AAAAAD79+mA=")</f>
        <v>#REF!</v>
      </c>
      <c r="CT24" t="e">
        <f>AND(#REF!,"AAAAAD79+mE=")</f>
        <v>#REF!</v>
      </c>
      <c r="CU24" t="e">
        <f>AND(#REF!,"AAAAAD79+mI=")</f>
        <v>#REF!</v>
      </c>
      <c r="CV24" t="e">
        <f>AND(#REF!,"AAAAAD79+mM=")</f>
        <v>#REF!</v>
      </c>
      <c r="CW24" t="e">
        <f>AND(#REF!,"AAAAAD79+mQ=")</f>
        <v>#REF!</v>
      </c>
      <c r="CX24" t="e">
        <f>AND(#REF!,"AAAAAD79+mU=")</f>
        <v>#REF!</v>
      </c>
      <c r="CY24" t="e">
        <f>AND(#REF!,"AAAAAD79+mY=")</f>
        <v>#REF!</v>
      </c>
      <c r="CZ24" t="e">
        <f>AND(#REF!,"AAAAAD79+mc=")</f>
        <v>#REF!</v>
      </c>
      <c r="DA24" t="e">
        <f>AND(#REF!,"AAAAAD79+mg=")</f>
        <v>#REF!</v>
      </c>
      <c r="DB24" t="e">
        <f>IF(#REF!,"AAAAAD79+mk=",0)</f>
        <v>#REF!</v>
      </c>
      <c r="DC24" t="e">
        <f>AND(#REF!,"AAAAAD79+mo=")</f>
        <v>#REF!</v>
      </c>
      <c r="DD24" t="e">
        <f>AND(#REF!,"AAAAAD79+ms=")</f>
        <v>#REF!</v>
      </c>
      <c r="DE24" t="e">
        <f>AND(#REF!,"AAAAAD79+mw=")</f>
        <v>#REF!</v>
      </c>
      <c r="DF24" t="e">
        <f>AND(#REF!,"AAAAAD79+m0=")</f>
        <v>#REF!</v>
      </c>
      <c r="DG24" t="e">
        <f>AND(#REF!,"AAAAAD79+m4=")</f>
        <v>#REF!</v>
      </c>
      <c r="DH24" t="e">
        <f>AND(#REF!,"AAAAAD79+m8=")</f>
        <v>#REF!</v>
      </c>
      <c r="DI24" t="e">
        <f>AND(#REF!,"AAAAAD79+nA=")</f>
        <v>#REF!</v>
      </c>
      <c r="DJ24" t="e">
        <f>AND(#REF!,"AAAAAD79+nE=")</f>
        <v>#REF!</v>
      </c>
      <c r="DK24" t="e">
        <f>AND(#REF!,"AAAAAD79+nI=")</f>
        <v>#REF!</v>
      </c>
      <c r="DL24" t="e">
        <f>AND(#REF!,"AAAAAD79+nM=")</f>
        <v>#REF!</v>
      </c>
      <c r="DM24" t="e">
        <f>AND(#REF!,"AAAAAD79+nQ=")</f>
        <v>#REF!</v>
      </c>
      <c r="DN24" t="e">
        <f>AND(#REF!,"AAAAAD79+nU=")</f>
        <v>#REF!</v>
      </c>
      <c r="DO24" t="e">
        <f>AND(#REF!,"AAAAAD79+nY=")</f>
        <v>#REF!</v>
      </c>
      <c r="DP24" t="e">
        <f>AND(#REF!,"AAAAAD79+nc=")</f>
        <v>#REF!</v>
      </c>
      <c r="DQ24" t="e">
        <f>AND(#REF!,"AAAAAD79+ng=")</f>
        <v>#REF!</v>
      </c>
      <c r="DR24" t="e">
        <f>AND(#REF!,"AAAAAD79+nk=")</f>
        <v>#REF!</v>
      </c>
      <c r="DS24" t="e">
        <f>AND(#REF!,"AAAAAD79+no=")</f>
        <v>#REF!</v>
      </c>
      <c r="DT24" t="e">
        <f>AND(#REF!,"AAAAAD79+ns=")</f>
        <v>#REF!</v>
      </c>
      <c r="DU24" t="e">
        <f>AND(#REF!,"AAAAAD79+nw=")</f>
        <v>#REF!</v>
      </c>
      <c r="DV24" t="e">
        <f>AND(#REF!,"AAAAAD79+n0=")</f>
        <v>#REF!</v>
      </c>
      <c r="DW24" t="e">
        <f>IF(#REF!,"AAAAAD79+n4=",0)</f>
        <v>#REF!</v>
      </c>
      <c r="DX24" t="e">
        <f>AND(#REF!,"AAAAAD79+n8=")</f>
        <v>#REF!</v>
      </c>
      <c r="DY24" t="e">
        <f>AND(#REF!,"AAAAAD79+oA=")</f>
        <v>#REF!</v>
      </c>
      <c r="DZ24" t="e">
        <f>AND(#REF!,"AAAAAD79+oE=")</f>
        <v>#REF!</v>
      </c>
      <c r="EA24" t="e">
        <f>AND(#REF!,"AAAAAD79+oI=")</f>
        <v>#REF!</v>
      </c>
      <c r="EB24" t="e">
        <f>AND(#REF!,"AAAAAD79+oM=")</f>
        <v>#REF!</v>
      </c>
      <c r="EC24" t="e">
        <f>AND(#REF!,"AAAAAD79+oQ=")</f>
        <v>#REF!</v>
      </c>
      <c r="ED24" t="e">
        <f>AND(#REF!,"AAAAAD79+oU=")</f>
        <v>#REF!</v>
      </c>
      <c r="EE24" t="e">
        <f>AND(#REF!,"AAAAAD79+oY=")</f>
        <v>#REF!</v>
      </c>
      <c r="EF24" t="e">
        <f>AND(#REF!,"AAAAAD79+oc=")</f>
        <v>#REF!</v>
      </c>
      <c r="EG24" t="e">
        <f>AND(#REF!,"AAAAAD79+og=")</f>
        <v>#REF!</v>
      </c>
      <c r="EH24" t="e">
        <f>AND(#REF!,"AAAAAD79+ok=")</f>
        <v>#REF!</v>
      </c>
      <c r="EI24" t="e">
        <f>AND(#REF!,"AAAAAD79+oo=")</f>
        <v>#REF!</v>
      </c>
      <c r="EJ24" t="e">
        <f>AND(#REF!,"AAAAAD79+os=")</f>
        <v>#REF!</v>
      </c>
      <c r="EK24" t="e">
        <f>AND(#REF!,"AAAAAD79+ow=")</f>
        <v>#REF!</v>
      </c>
      <c r="EL24" t="e">
        <f>AND(#REF!,"AAAAAD79+o0=")</f>
        <v>#REF!</v>
      </c>
      <c r="EM24" t="e">
        <f>AND(#REF!,"AAAAAD79+o4=")</f>
        <v>#REF!</v>
      </c>
      <c r="EN24" t="e">
        <f>AND(#REF!,"AAAAAD79+o8=")</f>
        <v>#REF!</v>
      </c>
      <c r="EO24" t="e">
        <f>AND(#REF!,"AAAAAD79+pA=")</f>
        <v>#REF!</v>
      </c>
      <c r="EP24" t="e">
        <f>AND(#REF!,"AAAAAD79+pE=")</f>
        <v>#REF!</v>
      </c>
      <c r="EQ24" t="e">
        <f>AND(#REF!,"AAAAAD79+pI=")</f>
        <v>#REF!</v>
      </c>
      <c r="ER24" t="e">
        <f>IF(#REF!,"AAAAAD79+pM=",0)</f>
        <v>#REF!</v>
      </c>
      <c r="ES24" t="e">
        <f>AND(#REF!,"AAAAAD79+pQ=")</f>
        <v>#REF!</v>
      </c>
      <c r="ET24" t="e">
        <f>AND(#REF!,"AAAAAD79+pU=")</f>
        <v>#REF!</v>
      </c>
      <c r="EU24" t="e">
        <f>AND(#REF!,"AAAAAD79+pY=")</f>
        <v>#REF!</v>
      </c>
      <c r="EV24" t="e">
        <f>AND(#REF!,"AAAAAD79+pc=")</f>
        <v>#REF!</v>
      </c>
      <c r="EW24" t="e">
        <f>AND(#REF!,"AAAAAD79+pg=")</f>
        <v>#REF!</v>
      </c>
      <c r="EX24" t="e">
        <f>AND(#REF!,"AAAAAD79+pk=")</f>
        <v>#REF!</v>
      </c>
      <c r="EY24" t="e">
        <f>AND(#REF!,"AAAAAD79+po=")</f>
        <v>#REF!</v>
      </c>
      <c r="EZ24" t="e">
        <f>AND(#REF!,"AAAAAD79+ps=")</f>
        <v>#REF!</v>
      </c>
      <c r="FA24" t="e">
        <f>AND(#REF!,"AAAAAD79+pw=")</f>
        <v>#REF!</v>
      </c>
      <c r="FB24" t="e">
        <f>AND(#REF!,"AAAAAD79+p0=")</f>
        <v>#REF!</v>
      </c>
      <c r="FC24" t="e">
        <f>AND(#REF!,"AAAAAD79+p4=")</f>
        <v>#REF!</v>
      </c>
      <c r="FD24" t="e">
        <f>AND(#REF!,"AAAAAD79+p8=")</f>
        <v>#REF!</v>
      </c>
      <c r="FE24" t="e">
        <f>AND(#REF!,"AAAAAD79+qA=")</f>
        <v>#REF!</v>
      </c>
      <c r="FF24" t="e">
        <f>AND(#REF!,"AAAAAD79+qE=")</f>
        <v>#REF!</v>
      </c>
      <c r="FG24" t="e">
        <f>AND(#REF!,"AAAAAD79+qI=")</f>
        <v>#REF!</v>
      </c>
      <c r="FH24" t="e">
        <f>AND(#REF!,"AAAAAD79+qM=")</f>
        <v>#REF!</v>
      </c>
      <c r="FI24" t="e">
        <f>AND(#REF!,"AAAAAD79+qQ=")</f>
        <v>#REF!</v>
      </c>
      <c r="FJ24" t="e">
        <f>AND(#REF!,"AAAAAD79+qU=")</f>
        <v>#REF!</v>
      </c>
      <c r="FK24" t="e">
        <f>AND(#REF!,"AAAAAD79+qY=")</f>
        <v>#REF!</v>
      </c>
      <c r="FL24" t="e">
        <f>AND(#REF!,"AAAAAD79+qc=")</f>
        <v>#REF!</v>
      </c>
      <c r="FM24" t="e">
        <f>IF(#REF!,"AAAAAD79+qg=",0)</f>
        <v>#REF!</v>
      </c>
      <c r="FN24" t="e">
        <f>AND(#REF!,"AAAAAD79+qk=")</f>
        <v>#REF!</v>
      </c>
      <c r="FO24" t="e">
        <f>AND(#REF!,"AAAAAD79+qo=")</f>
        <v>#REF!</v>
      </c>
      <c r="FP24" t="e">
        <f>AND(#REF!,"AAAAAD79+qs=")</f>
        <v>#REF!</v>
      </c>
      <c r="FQ24" t="e">
        <f>AND(#REF!,"AAAAAD79+qw=")</f>
        <v>#REF!</v>
      </c>
      <c r="FR24" t="e">
        <f>AND(#REF!,"AAAAAD79+q0=")</f>
        <v>#REF!</v>
      </c>
      <c r="FS24" t="e">
        <f>AND(#REF!,"AAAAAD79+q4=")</f>
        <v>#REF!</v>
      </c>
      <c r="FT24" t="e">
        <f>AND(#REF!,"AAAAAD79+q8=")</f>
        <v>#REF!</v>
      </c>
      <c r="FU24" t="e">
        <f>AND(#REF!,"AAAAAD79+rA=")</f>
        <v>#REF!</v>
      </c>
      <c r="FV24" t="e">
        <f>AND(#REF!,"AAAAAD79+rE=")</f>
        <v>#REF!</v>
      </c>
      <c r="FW24" t="e">
        <f>AND(#REF!,"AAAAAD79+rI=")</f>
        <v>#REF!</v>
      </c>
      <c r="FX24" t="e">
        <f>AND(#REF!,"AAAAAD79+rM=")</f>
        <v>#REF!</v>
      </c>
      <c r="FY24" t="e">
        <f>AND(#REF!,"AAAAAD79+rQ=")</f>
        <v>#REF!</v>
      </c>
      <c r="FZ24" t="e">
        <f>AND(#REF!,"AAAAAD79+rU=")</f>
        <v>#REF!</v>
      </c>
      <c r="GA24" t="e">
        <f>AND(#REF!,"AAAAAD79+rY=")</f>
        <v>#REF!</v>
      </c>
      <c r="GB24" t="e">
        <f>AND(#REF!,"AAAAAD79+rc=")</f>
        <v>#REF!</v>
      </c>
      <c r="GC24" t="e">
        <f>AND(#REF!,"AAAAAD79+rg=")</f>
        <v>#REF!</v>
      </c>
      <c r="GD24" t="e">
        <f>AND(#REF!,"AAAAAD79+rk=")</f>
        <v>#REF!</v>
      </c>
      <c r="GE24" t="e">
        <f>AND(#REF!,"AAAAAD79+ro=")</f>
        <v>#REF!</v>
      </c>
      <c r="GF24" t="e">
        <f>AND(#REF!,"AAAAAD79+rs=")</f>
        <v>#REF!</v>
      </c>
      <c r="GG24" t="e">
        <f>AND(#REF!,"AAAAAD79+rw=")</f>
        <v>#REF!</v>
      </c>
      <c r="GH24" t="e">
        <f>IF(#REF!,"AAAAAD79+r0=",0)</f>
        <v>#REF!</v>
      </c>
      <c r="GI24" t="e">
        <f>AND(#REF!,"AAAAAD79+r4=")</f>
        <v>#REF!</v>
      </c>
      <c r="GJ24" t="e">
        <f>AND(#REF!,"AAAAAD79+r8=")</f>
        <v>#REF!</v>
      </c>
      <c r="GK24" t="e">
        <f>AND(#REF!,"AAAAAD79+sA=")</f>
        <v>#REF!</v>
      </c>
      <c r="GL24" t="e">
        <f>AND(#REF!,"AAAAAD79+sE=")</f>
        <v>#REF!</v>
      </c>
      <c r="GM24" t="e">
        <f>AND(#REF!,"AAAAAD79+sI=")</f>
        <v>#REF!</v>
      </c>
      <c r="GN24" t="e">
        <f>AND(#REF!,"AAAAAD79+sM=")</f>
        <v>#REF!</v>
      </c>
      <c r="GO24" t="e">
        <f>AND(#REF!,"AAAAAD79+sQ=")</f>
        <v>#REF!</v>
      </c>
      <c r="GP24" t="e">
        <f>AND(#REF!,"AAAAAD79+sU=")</f>
        <v>#REF!</v>
      </c>
      <c r="GQ24" t="e">
        <f>AND(#REF!,"AAAAAD79+sY=")</f>
        <v>#REF!</v>
      </c>
      <c r="GR24" t="e">
        <f>AND(#REF!,"AAAAAD79+sc=")</f>
        <v>#REF!</v>
      </c>
      <c r="GS24" t="e">
        <f>AND(#REF!,"AAAAAD79+sg=")</f>
        <v>#REF!</v>
      </c>
      <c r="GT24" t="e">
        <f>AND(#REF!,"AAAAAD79+sk=")</f>
        <v>#REF!</v>
      </c>
      <c r="GU24" t="e">
        <f>AND(#REF!,"AAAAAD79+so=")</f>
        <v>#REF!</v>
      </c>
      <c r="GV24" t="e">
        <f>AND(#REF!,"AAAAAD79+ss=")</f>
        <v>#REF!</v>
      </c>
      <c r="GW24" t="e">
        <f>AND(#REF!,"AAAAAD79+sw=")</f>
        <v>#REF!</v>
      </c>
      <c r="GX24" t="e">
        <f>AND(#REF!,"AAAAAD79+s0=")</f>
        <v>#REF!</v>
      </c>
      <c r="GY24" t="e">
        <f>AND(#REF!,"AAAAAD79+s4=")</f>
        <v>#REF!</v>
      </c>
      <c r="GZ24" t="e">
        <f>AND(#REF!,"AAAAAD79+s8=")</f>
        <v>#REF!</v>
      </c>
      <c r="HA24" t="e">
        <f>AND(#REF!,"AAAAAD79+tA=")</f>
        <v>#REF!</v>
      </c>
      <c r="HB24" t="e">
        <f>AND(#REF!,"AAAAAD79+tE=")</f>
        <v>#REF!</v>
      </c>
      <c r="HC24" t="e">
        <f>IF(#REF!,"AAAAAD79+tI=",0)</f>
        <v>#REF!</v>
      </c>
      <c r="HD24" t="e">
        <f>AND(#REF!,"AAAAAD79+tM=")</f>
        <v>#REF!</v>
      </c>
      <c r="HE24" t="e">
        <f>AND(#REF!,"AAAAAD79+tQ=")</f>
        <v>#REF!</v>
      </c>
      <c r="HF24" t="e">
        <f>AND(#REF!,"AAAAAD79+tU=")</f>
        <v>#REF!</v>
      </c>
      <c r="HG24" t="e">
        <f>AND(#REF!,"AAAAAD79+tY=")</f>
        <v>#REF!</v>
      </c>
      <c r="HH24" t="e">
        <f>AND(#REF!,"AAAAAD79+tc=")</f>
        <v>#REF!</v>
      </c>
      <c r="HI24" t="e">
        <f>AND(#REF!,"AAAAAD79+tg=")</f>
        <v>#REF!</v>
      </c>
      <c r="HJ24" t="e">
        <f>AND(#REF!,"AAAAAD79+tk=")</f>
        <v>#REF!</v>
      </c>
      <c r="HK24" t="e">
        <f>AND(#REF!,"AAAAAD79+to=")</f>
        <v>#REF!</v>
      </c>
      <c r="HL24" t="e">
        <f>AND(#REF!,"AAAAAD79+ts=")</f>
        <v>#REF!</v>
      </c>
      <c r="HM24" t="e">
        <f>AND(#REF!,"AAAAAD79+tw=")</f>
        <v>#REF!</v>
      </c>
      <c r="HN24" t="e">
        <f>AND(#REF!,"AAAAAD79+t0=")</f>
        <v>#REF!</v>
      </c>
      <c r="HO24" t="e">
        <f>AND(#REF!,"AAAAAD79+t4=")</f>
        <v>#REF!</v>
      </c>
      <c r="HP24" t="e">
        <f>AND(#REF!,"AAAAAD79+t8=")</f>
        <v>#REF!</v>
      </c>
      <c r="HQ24" t="e">
        <f>AND(#REF!,"AAAAAD79+uA=")</f>
        <v>#REF!</v>
      </c>
      <c r="HR24" t="e">
        <f>AND(#REF!,"AAAAAD79+uE=")</f>
        <v>#REF!</v>
      </c>
      <c r="HS24" t="e">
        <f>AND(#REF!,"AAAAAD79+uI=")</f>
        <v>#REF!</v>
      </c>
      <c r="HT24" t="e">
        <f>AND(#REF!,"AAAAAD79+uM=")</f>
        <v>#REF!</v>
      </c>
      <c r="HU24" t="e">
        <f>AND(#REF!,"AAAAAD79+uQ=")</f>
        <v>#REF!</v>
      </c>
      <c r="HV24" t="e">
        <f>AND(#REF!,"AAAAAD79+uU=")</f>
        <v>#REF!</v>
      </c>
      <c r="HW24" t="e">
        <f>AND(#REF!,"AAAAAD79+uY=")</f>
        <v>#REF!</v>
      </c>
      <c r="HX24" t="e">
        <f>IF(#REF!,"AAAAAD79+uc=",0)</f>
        <v>#REF!</v>
      </c>
      <c r="HY24" t="e">
        <f>AND(#REF!,"AAAAAD79+ug=")</f>
        <v>#REF!</v>
      </c>
      <c r="HZ24" t="e">
        <f>AND(#REF!,"AAAAAD79+uk=")</f>
        <v>#REF!</v>
      </c>
      <c r="IA24" t="e">
        <f>AND(#REF!,"AAAAAD79+uo=")</f>
        <v>#REF!</v>
      </c>
      <c r="IB24" t="e">
        <f>AND(#REF!,"AAAAAD79+us=")</f>
        <v>#REF!</v>
      </c>
      <c r="IC24" t="e">
        <f>AND(#REF!,"AAAAAD79+uw=")</f>
        <v>#REF!</v>
      </c>
      <c r="ID24" t="e">
        <f>AND(#REF!,"AAAAAD79+u0=")</f>
        <v>#REF!</v>
      </c>
      <c r="IE24" t="e">
        <f>AND(#REF!,"AAAAAD79+u4=")</f>
        <v>#REF!</v>
      </c>
      <c r="IF24" t="e">
        <f>AND(#REF!,"AAAAAD79+u8=")</f>
        <v>#REF!</v>
      </c>
      <c r="IG24" t="e">
        <f>AND(#REF!,"AAAAAD79+vA=")</f>
        <v>#REF!</v>
      </c>
      <c r="IH24" t="e">
        <f>AND(#REF!,"AAAAAD79+vE=")</f>
        <v>#REF!</v>
      </c>
      <c r="II24" t="e">
        <f>AND(#REF!,"AAAAAD79+vI=")</f>
        <v>#REF!</v>
      </c>
      <c r="IJ24" t="e">
        <f>AND(#REF!,"AAAAAD79+vM=")</f>
        <v>#REF!</v>
      </c>
      <c r="IK24" t="e">
        <f>AND(#REF!,"AAAAAD79+vQ=")</f>
        <v>#REF!</v>
      </c>
      <c r="IL24" t="e">
        <f>AND(#REF!,"AAAAAD79+vU=")</f>
        <v>#REF!</v>
      </c>
      <c r="IM24" t="e">
        <f>AND(#REF!,"AAAAAD79+vY=")</f>
        <v>#REF!</v>
      </c>
      <c r="IN24" t="e">
        <f>AND(#REF!,"AAAAAD79+vc=")</f>
        <v>#REF!</v>
      </c>
      <c r="IO24" t="e">
        <f>AND(#REF!,"AAAAAD79+vg=")</f>
        <v>#REF!</v>
      </c>
      <c r="IP24" t="e">
        <f>AND(#REF!,"AAAAAD79+vk=")</f>
        <v>#REF!</v>
      </c>
      <c r="IQ24" t="e">
        <f>AND(#REF!,"AAAAAD79+vo=")</f>
        <v>#REF!</v>
      </c>
      <c r="IR24" t="e">
        <f>AND(#REF!,"AAAAAD79+vs=")</f>
        <v>#REF!</v>
      </c>
      <c r="IS24" t="e">
        <f>IF(#REF!,"AAAAAD79+vw=",0)</f>
        <v>#REF!</v>
      </c>
      <c r="IT24" t="e">
        <f>AND(#REF!,"AAAAAD79+v0=")</f>
        <v>#REF!</v>
      </c>
      <c r="IU24" t="e">
        <f>AND(#REF!,"AAAAAD79+v4=")</f>
        <v>#REF!</v>
      </c>
      <c r="IV24" t="e">
        <f>AND(#REF!,"AAAAAD79+v8=")</f>
        <v>#REF!</v>
      </c>
    </row>
    <row r="25" spans="1:256">
      <c r="A25" t="e">
        <f>AND(#REF!,"AAAAAGvv7gA=")</f>
        <v>#REF!</v>
      </c>
      <c r="B25" t="e">
        <f>AND(#REF!,"AAAAAGvv7gE=")</f>
        <v>#REF!</v>
      </c>
      <c r="C25" t="e">
        <f>AND(#REF!,"AAAAAGvv7gI=")</f>
        <v>#REF!</v>
      </c>
      <c r="D25" t="e">
        <f>AND(#REF!,"AAAAAGvv7gM=")</f>
        <v>#REF!</v>
      </c>
      <c r="E25" t="e">
        <f>AND(#REF!,"AAAAAGvv7gQ=")</f>
        <v>#REF!</v>
      </c>
      <c r="F25" t="e">
        <f>AND(#REF!,"AAAAAGvv7gU=")</f>
        <v>#REF!</v>
      </c>
      <c r="G25" t="e">
        <f>AND(#REF!,"AAAAAGvv7gY=")</f>
        <v>#REF!</v>
      </c>
      <c r="H25" t="e">
        <f>AND(#REF!,"AAAAAGvv7gc=")</f>
        <v>#REF!</v>
      </c>
      <c r="I25" t="e">
        <f>AND(#REF!,"AAAAAGvv7gg=")</f>
        <v>#REF!</v>
      </c>
      <c r="J25" t="e">
        <f>AND(#REF!,"AAAAAGvv7gk=")</f>
        <v>#REF!</v>
      </c>
      <c r="K25" t="e">
        <f>AND(#REF!,"AAAAAGvv7go=")</f>
        <v>#REF!</v>
      </c>
      <c r="L25" t="e">
        <f>AND(#REF!,"AAAAAGvv7gs=")</f>
        <v>#REF!</v>
      </c>
      <c r="M25" t="e">
        <f>AND(#REF!,"AAAAAGvv7gw=")</f>
        <v>#REF!</v>
      </c>
      <c r="N25" t="e">
        <f>AND(#REF!,"AAAAAGvv7g0=")</f>
        <v>#REF!</v>
      </c>
      <c r="O25" t="e">
        <f>AND(#REF!,"AAAAAGvv7g4=")</f>
        <v>#REF!</v>
      </c>
      <c r="P25" t="e">
        <f>AND(#REF!,"AAAAAGvv7g8=")</f>
        <v>#REF!</v>
      </c>
      <c r="Q25" t="e">
        <f>AND(#REF!,"AAAAAGvv7hA=")</f>
        <v>#REF!</v>
      </c>
      <c r="R25" t="e">
        <f>IF(#REF!,"AAAAAGvv7hE=",0)</f>
        <v>#REF!</v>
      </c>
      <c r="S25" t="e">
        <f>AND(#REF!,"AAAAAGvv7hI=")</f>
        <v>#REF!</v>
      </c>
      <c r="T25" t="e">
        <f>AND(#REF!,"AAAAAGvv7hM=")</f>
        <v>#REF!</v>
      </c>
      <c r="U25" t="e">
        <f>AND(#REF!,"AAAAAGvv7hQ=")</f>
        <v>#REF!</v>
      </c>
      <c r="V25" t="e">
        <f>AND(#REF!,"AAAAAGvv7hU=")</f>
        <v>#REF!</v>
      </c>
      <c r="W25" t="e">
        <f>AND(#REF!,"AAAAAGvv7hY=")</f>
        <v>#REF!</v>
      </c>
      <c r="X25" t="e">
        <f>AND(#REF!,"AAAAAGvv7hc=")</f>
        <v>#REF!</v>
      </c>
      <c r="Y25" t="e">
        <f>AND(#REF!,"AAAAAGvv7hg=")</f>
        <v>#REF!</v>
      </c>
      <c r="Z25" t="e">
        <f>AND(#REF!,"AAAAAGvv7hk=")</f>
        <v>#REF!</v>
      </c>
      <c r="AA25" t="e">
        <f>AND(#REF!,"AAAAAGvv7ho=")</f>
        <v>#REF!</v>
      </c>
      <c r="AB25" t="e">
        <f>AND(#REF!,"AAAAAGvv7hs=")</f>
        <v>#REF!</v>
      </c>
      <c r="AC25" t="e">
        <f>AND(#REF!,"AAAAAGvv7hw=")</f>
        <v>#REF!</v>
      </c>
      <c r="AD25" t="e">
        <f>AND(#REF!,"AAAAAGvv7h0=")</f>
        <v>#REF!</v>
      </c>
      <c r="AE25" t="e">
        <f>AND(#REF!,"AAAAAGvv7h4=")</f>
        <v>#REF!</v>
      </c>
      <c r="AF25" t="e">
        <f>AND(#REF!,"AAAAAGvv7h8=")</f>
        <v>#REF!</v>
      </c>
      <c r="AG25" t="e">
        <f>AND(#REF!,"AAAAAGvv7iA=")</f>
        <v>#REF!</v>
      </c>
      <c r="AH25" t="e">
        <f>AND(#REF!,"AAAAAGvv7iE=")</f>
        <v>#REF!</v>
      </c>
      <c r="AI25" t="e">
        <f>AND(#REF!,"AAAAAGvv7iI=")</f>
        <v>#REF!</v>
      </c>
      <c r="AJ25" t="e">
        <f>AND(#REF!,"AAAAAGvv7iM=")</f>
        <v>#REF!</v>
      </c>
      <c r="AK25" t="e">
        <f>AND(#REF!,"AAAAAGvv7iQ=")</f>
        <v>#REF!</v>
      </c>
      <c r="AL25" t="e">
        <f>AND(#REF!,"AAAAAGvv7iU=")</f>
        <v>#REF!</v>
      </c>
      <c r="AM25" t="e">
        <f>IF(#REF!,"AAAAAGvv7iY=",0)</f>
        <v>#REF!</v>
      </c>
      <c r="AN25" t="e">
        <f>IF(#REF!,"AAAAAGvv7ic=",0)</f>
        <v>#REF!</v>
      </c>
      <c r="AO25" t="e">
        <f>IF(#REF!,"AAAAAGvv7ig=",0)</f>
        <v>#REF!</v>
      </c>
      <c r="AP25" t="e">
        <f>IF(#REF!,"AAAAAGvv7ik=",0)</f>
        <v>#REF!</v>
      </c>
      <c r="AQ25" t="e">
        <f>IF(#REF!,"AAAAAGvv7io=",0)</f>
        <v>#REF!</v>
      </c>
      <c r="AR25" t="e">
        <f>IF(#REF!,"AAAAAGvv7is=",0)</f>
        <v>#REF!</v>
      </c>
      <c r="AS25" t="e">
        <f>IF(#REF!,"AAAAAGvv7iw=",0)</f>
        <v>#REF!</v>
      </c>
      <c r="AT25" t="e">
        <f>IF(#REF!,"AAAAAGvv7i0=",0)</f>
        <v>#REF!</v>
      </c>
      <c r="AU25" t="e">
        <f>IF(#REF!,"AAAAAGvv7i4=",0)</f>
        <v>#REF!</v>
      </c>
      <c r="AV25" t="e">
        <f>IF(#REF!,"AAAAAGvv7i8=",0)</f>
        <v>#REF!</v>
      </c>
      <c r="AW25" t="e">
        <f>IF(#REF!,"AAAAAGvv7jA=",0)</f>
        <v>#REF!</v>
      </c>
      <c r="AX25" t="e">
        <f>IF(#REF!,"AAAAAGvv7jE=",0)</f>
        <v>#REF!</v>
      </c>
      <c r="AY25" t="e">
        <f>IF(#REF!,"AAAAAGvv7jI=",0)</f>
        <v>#REF!</v>
      </c>
      <c r="AZ25" t="e">
        <f>IF(#REF!,"AAAAAGvv7jM=",0)</f>
        <v>#REF!</v>
      </c>
      <c r="BA25" t="e">
        <f>IF(#REF!,"AAAAAGvv7jQ=",0)</f>
        <v>#REF!</v>
      </c>
      <c r="BB25" t="e">
        <f>IF(#REF!,"AAAAAGvv7jU=",0)</f>
        <v>#REF!</v>
      </c>
      <c r="BC25" t="e">
        <f>IF(#REF!,"AAAAAGvv7jY=",0)</f>
        <v>#REF!</v>
      </c>
      <c r="BD25" t="e">
        <f>IF(#REF!,"AAAAAGvv7jc=",0)</f>
        <v>#REF!</v>
      </c>
      <c r="BE25" t="e">
        <f>IF(#REF!,"AAAAAGvv7jg=",0)</f>
        <v>#REF!</v>
      </c>
      <c r="BF25" t="e">
        <f>IF(#REF!,"AAAAAGvv7jk=",0)</f>
        <v>#REF!</v>
      </c>
      <c r="BG25" t="e">
        <f>IF(#REF!,"AAAAAGvv7jo=",0)</f>
        <v>#REF!</v>
      </c>
      <c r="BH25" t="e">
        <f>IF(Heater!#REF!,"AAAAAGvv7js=",0)</f>
        <v>#REF!</v>
      </c>
      <c r="BI25" t="e">
        <f>AND(Heater!#REF!,"AAAAAGvv7jw=")</f>
        <v>#REF!</v>
      </c>
      <c r="BJ25" t="e">
        <f>AND(Heater!#REF!,"AAAAAGvv7j0=")</f>
        <v>#REF!</v>
      </c>
      <c r="BK25" t="e">
        <f>AND(Heater!#REF!,"AAAAAGvv7j4=")</f>
        <v>#REF!</v>
      </c>
      <c r="BL25" t="e">
        <f>AND(Heater!#REF!,"AAAAAGvv7j8=")</f>
        <v>#REF!</v>
      </c>
      <c r="BM25" t="e">
        <f>AND(Heater!#REF!,"AAAAAGvv7kA=")</f>
        <v>#REF!</v>
      </c>
      <c r="BN25" t="e">
        <f>AND(Heater!#REF!,"AAAAAGvv7kE=")</f>
        <v>#REF!</v>
      </c>
      <c r="BO25" t="e">
        <f>AND(Heater!#REF!,"AAAAAGvv7kI=")</f>
        <v>#REF!</v>
      </c>
      <c r="BP25" t="e">
        <f>AND(Heater!#REF!,"AAAAAGvv7kM=")</f>
        <v>#REF!</v>
      </c>
      <c r="BQ25" t="e">
        <f>AND(Heater!#REF!,"AAAAAGvv7kQ=")</f>
        <v>#REF!</v>
      </c>
      <c r="BR25" t="e">
        <f>AND(Heater!#REF!,"AAAAAGvv7kU=")</f>
        <v>#REF!</v>
      </c>
      <c r="BS25" t="e">
        <f>AND(Heater!#REF!,"AAAAAGvv7kY=")</f>
        <v>#REF!</v>
      </c>
      <c r="BT25" t="e">
        <f>AND(Heater!#REF!,"AAAAAGvv7kc=")</f>
        <v>#REF!</v>
      </c>
      <c r="BU25" t="e">
        <f>AND(Heater!#REF!,"AAAAAGvv7kg=")</f>
        <v>#REF!</v>
      </c>
      <c r="BV25" t="e">
        <f>AND(Heater!#REF!,"AAAAAGvv7kk=")</f>
        <v>#REF!</v>
      </c>
      <c r="BW25" t="e">
        <f>AND(Heater!#REF!,"AAAAAGvv7ko=")</f>
        <v>#REF!</v>
      </c>
      <c r="BX25">
        <f>IF(Heater!2:2,"AAAAAGvv7ks=",0)</f>
        <v>0</v>
      </c>
      <c r="BY25" t="e">
        <f>AND(Heater!A2,"AAAAAGvv7kw=")</f>
        <v>#VALUE!</v>
      </c>
      <c r="BZ25" t="e">
        <f>AND(Heater!B2,"AAAAAGvv7k0=")</f>
        <v>#VALUE!</v>
      </c>
      <c r="CA25" t="e">
        <f>AND(Heater!C2,"AAAAAGvv7k4=")</f>
        <v>#VALUE!</v>
      </c>
      <c r="CB25" t="e">
        <f>AND(Heater!D2,"AAAAAGvv7k8=")</f>
        <v>#VALUE!</v>
      </c>
      <c r="CC25" t="e">
        <f>AND(Heater!E2,"AAAAAGvv7lA=")</f>
        <v>#VALUE!</v>
      </c>
      <c r="CD25" t="e">
        <f>AND(Heater!F2,"AAAAAGvv7lE=")</f>
        <v>#VALUE!</v>
      </c>
      <c r="CE25" t="e">
        <f>AND(Heater!G2,"AAAAAGvv7lI=")</f>
        <v>#VALUE!</v>
      </c>
      <c r="CF25" t="e">
        <f>AND(Heater!H2,"AAAAAGvv7lM=")</f>
        <v>#VALUE!</v>
      </c>
      <c r="CG25" t="e">
        <f>AND(Heater!I2,"AAAAAGvv7lQ=")</f>
        <v>#VALUE!</v>
      </c>
      <c r="CH25" t="e">
        <f>AND(Heater!J2,"AAAAAGvv7lU=")</f>
        <v>#VALUE!</v>
      </c>
      <c r="CI25" t="e">
        <f>AND(Heater!K2,"AAAAAGvv7lY=")</f>
        <v>#VALUE!</v>
      </c>
      <c r="CJ25" t="e">
        <f>AND(Heater!L2,"AAAAAGvv7lc=")</f>
        <v>#VALUE!</v>
      </c>
      <c r="CK25" t="e">
        <f>AND(Heater!M2,"AAAAAGvv7lg=")</f>
        <v>#VALUE!</v>
      </c>
      <c r="CL25" t="e">
        <f>AND(Heater!N2,"AAAAAGvv7lk=")</f>
        <v>#VALUE!</v>
      </c>
      <c r="CM25" t="e">
        <f>AND(Heater!O2,"AAAAAGvv7lo=")</f>
        <v>#VALUE!</v>
      </c>
      <c r="CN25" t="e">
        <f>IF(Heater!#REF!,"AAAAAGvv7ls=",0)</f>
        <v>#REF!</v>
      </c>
      <c r="CO25" t="e">
        <f>AND(Heater!#REF!,"AAAAAGvv7lw=")</f>
        <v>#REF!</v>
      </c>
      <c r="CP25" t="e">
        <f>AND(Heater!#REF!,"AAAAAGvv7l0=")</f>
        <v>#REF!</v>
      </c>
      <c r="CQ25" t="e">
        <f>AND(Heater!#REF!,"AAAAAGvv7l4=")</f>
        <v>#REF!</v>
      </c>
      <c r="CR25" t="e">
        <f>AND(Heater!#REF!,"AAAAAGvv7l8=")</f>
        <v>#REF!</v>
      </c>
      <c r="CS25" t="e">
        <f>AND(Heater!#REF!,"AAAAAGvv7mA=")</f>
        <v>#REF!</v>
      </c>
      <c r="CT25" t="e">
        <f>AND(Heater!#REF!,"AAAAAGvv7mE=")</f>
        <v>#REF!</v>
      </c>
      <c r="CU25" t="e">
        <f>AND(Heater!#REF!,"AAAAAGvv7mI=")</f>
        <v>#REF!</v>
      </c>
      <c r="CV25" t="e">
        <f>AND(Heater!#REF!,"AAAAAGvv7mM=")</f>
        <v>#REF!</v>
      </c>
      <c r="CW25" t="e">
        <f>AND(Heater!#REF!,"AAAAAGvv7mQ=")</f>
        <v>#REF!</v>
      </c>
      <c r="CX25" t="e">
        <f>AND(Heater!#REF!,"AAAAAGvv7mU=")</f>
        <v>#REF!</v>
      </c>
      <c r="CY25" t="e">
        <f>AND(Heater!#REF!,"AAAAAGvv7mY=")</f>
        <v>#REF!</v>
      </c>
      <c r="CZ25" t="e">
        <f>AND(Heater!#REF!,"AAAAAGvv7mc=")</f>
        <v>#REF!</v>
      </c>
      <c r="DA25" t="e">
        <f>AND(Heater!#REF!,"AAAAAGvv7mg=")</f>
        <v>#REF!</v>
      </c>
      <c r="DB25" t="e">
        <f>AND(Heater!#REF!,"AAAAAGvv7mk=")</f>
        <v>#REF!</v>
      </c>
      <c r="DC25" t="e">
        <f>AND(Heater!#REF!,"AAAAAGvv7mo=")</f>
        <v>#REF!</v>
      </c>
      <c r="DD25">
        <f>IF(Heater!3:3,"AAAAAGvv7ms=",0)</f>
        <v>0</v>
      </c>
      <c r="DE25" t="e">
        <f>AND(Heater!A3,"AAAAAGvv7mw=")</f>
        <v>#VALUE!</v>
      </c>
      <c r="DF25" t="e">
        <f>AND(Heater!B3,"AAAAAGvv7m0=")</f>
        <v>#VALUE!</v>
      </c>
      <c r="DG25" t="e">
        <f>AND(Heater!C3,"AAAAAGvv7m4=")</f>
        <v>#VALUE!</v>
      </c>
      <c r="DH25" t="e">
        <f>AND(Heater!D3,"AAAAAGvv7m8=")</f>
        <v>#VALUE!</v>
      </c>
      <c r="DI25" t="e">
        <f>AND(Heater!E3,"AAAAAGvv7nA=")</f>
        <v>#VALUE!</v>
      </c>
      <c r="DJ25" t="e">
        <f>AND(Heater!F3,"AAAAAGvv7nE=")</f>
        <v>#VALUE!</v>
      </c>
      <c r="DK25" t="e">
        <f>AND(Heater!G3,"AAAAAGvv7nI=")</f>
        <v>#VALUE!</v>
      </c>
      <c r="DL25" t="e">
        <f>AND(Heater!H3,"AAAAAGvv7nM=")</f>
        <v>#VALUE!</v>
      </c>
      <c r="DM25" t="e">
        <f>AND(Heater!I3,"AAAAAGvv7nQ=")</f>
        <v>#VALUE!</v>
      </c>
      <c r="DN25" t="e">
        <f>AND(Heater!J3,"AAAAAGvv7nU=")</f>
        <v>#VALUE!</v>
      </c>
      <c r="DO25" t="e">
        <f>AND(Heater!K3,"AAAAAGvv7nY=")</f>
        <v>#VALUE!</v>
      </c>
      <c r="DP25" t="e">
        <f>AND(Heater!L3,"AAAAAGvv7nc=")</f>
        <v>#VALUE!</v>
      </c>
      <c r="DQ25" t="e">
        <f>AND(Heater!M3,"AAAAAGvv7ng=")</f>
        <v>#VALUE!</v>
      </c>
      <c r="DR25" t="e">
        <f>AND(Heater!N3,"AAAAAGvv7nk=")</f>
        <v>#VALUE!</v>
      </c>
      <c r="DS25" t="e">
        <f>AND(Heater!O3,"AAAAAGvv7no=")</f>
        <v>#VALUE!</v>
      </c>
      <c r="DT25">
        <f>IF(Heater!4:4,"AAAAAGvv7ns=",0)</f>
        <v>0</v>
      </c>
      <c r="DU25" t="e">
        <f>AND(Heater!A4,"AAAAAGvv7nw=")</f>
        <v>#VALUE!</v>
      </c>
      <c r="DV25" t="e">
        <f>AND(Heater!B4,"AAAAAGvv7n0=")</f>
        <v>#VALUE!</v>
      </c>
      <c r="DW25" t="e">
        <f>AND(Heater!C4,"AAAAAGvv7n4=")</f>
        <v>#VALUE!</v>
      </c>
      <c r="DX25" t="e">
        <f>AND(Heater!D4,"AAAAAGvv7n8=")</f>
        <v>#VALUE!</v>
      </c>
      <c r="DY25" t="e">
        <f>AND(Heater!E4,"AAAAAGvv7oA=")</f>
        <v>#VALUE!</v>
      </c>
      <c r="DZ25" t="e">
        <f>AND(Heater!F4,"AAAAAGvv7oE=")</f>
        <v>#VALUE!</v>
      </c>
      <c r="EA25" t="e">
        <f>AND(Heater!G4,"AAAAAGvv7oI=")</f>
        <v>#VALUE!</v>
      </c>
      <c r="EB25" t="e">
        <f>AND(Heater!H4,"AAAAAGvv7oM=")</f>
        <v>#VALUE!</v>
      </c>
      <c r="EC25" t="e">
        <f>AND(Heater!I5,"AAAAAGvv7oQ=")</f>
        <v>#VALUE!</v>
      </c>
      <c r="ED25" t="e">
        <f>AND(Heater!J4,"AAAAAGvv7oU=")</f>
        <v>#VALUE!</v>
      </c>
      <c r="EE25" t="e">
        <f>AND(Heater!K4,"AAAAAGvv7oY=")</f>
        <v>#VALUE!</v>
      </c>
      <c r="EF25" t="e">
        <f>AND(Heater!L4,"AAAAAGvv7oc=")</f>
        <v>#VALUE!</v>
      </c>
      <c r="EG25" t="e">
        <f>AND(Heater!M4,"AAAAAGvv7og=")</f>
        <v>#VALUE!</v>
      </c>
      <c r="EH25" t="e">
        <f>AND(Heater!N4,"AAAAAGvv7ok=")</f>
        <v>#VALUE!</v>
      </c>
      <c r="EI25" t="e">
        <f>AND(Heater!O4,"AAAAAGvv7oo=")</f>
        <v>#VALUE!</v>
      </c>
      <c r="EJ25">
        <f>IF(Heater!5:5,"AAAAAGvv7os=",0)</f>
        <v>0</v>
      </c>
      <c r="EK25" t="e">
        <f>AND(Heater!A5,"AAAAAGvv7ow=")</f>
        <v>#VALUE!</v>
      </c>
      <c r="EL25" t="e">
        <f>AND(Heater!B5,"AAAAAGvv7o0=")</f>
        <v>#VALUE!</v>
      </c>
      <c r="EM25" t="e">
        <f>AND(Heater!C5,"AAAAAGvv7o4=")</f>
        <v>#VALUE!</v>
      </c>
      <c r="EN25" t="e">
        <f>AND(Heater!D5,"AAAAAGvv7o8=")</f>
        <v>#VALUE!</v>
      </c>
      <c r="EO25" t="e">
        <f>AND(Heater!E5,"AAAAAGvv7pA=")</f>
        <v>#VALUE!</v>
      </c>
      <c r="EP25" t="e">
        <f>AND(Heater!F5,"AAAAAGvv7pE=")</f>
        <v>#VALUE!</v>
      </c>
      <c r="EQ25" t="e">
        <f>AND(Heater!G5,"AAAAAGvv7pI=")</f>
        <v>#VALUE!</v>
      </c>
      <c r="ER25" t="e">
        <f>AND(Heater!H5,"AAAAAGvv7pM=")</f>
        <v>#VALUE!</v>
      </c>
      <c r="ES25" t="e">
        <f>AND(Heater!I6,"AAAAAGvv7pQ=")</f>
        <v>#VALUE!</v>
      </c>
      <c r="ET25" t="e">
        <f>AND(Heater!J5,"AAAAAGvv7pU=")</f>
        <v>#VALUE!</v>
      </c>
      <c r="EU25" t="e">
        <f>AND(Heater!K5,"AAAAAGvv7pY=")</f>
        <v>#VALUE!</v>
      </c>
      <c r="EV25" t="e">
        <f>AND(Heater!L5,"AAAAAGvv7pc=")</f>
        <v>#VALUE!</v>
      </c>
      <c r="EW25" t="e">
        <f>AND(Heater!M5,"AAAAAGvv7pg=")</f>
        <v>#VALUE!</v>
      </c>
      <c r="EX25" t="e">
        <f>AND(Heater!N5,"AAAAAGvv7pk=")</f>
        <v>#VALUE!</v>
      </c>
      <c r="EY25" t="e">
        <f>AND(Heater!O5,"AAAAAGvv7po=")</f>
        <v>#VALUE!</v>
      </c>
      <c r="EZ25">
        <f>IF(Heater!6:6,"AAAAAGvv7ps=",0)</f>
        <v>0</v>
      </c>
      <c r="FA25" t="e">
        <f>AND(Heater!A6,"AAAAAGvv7pw=")</f>
        <v>#VALUE!</v>
      </c>
      <c r="FB25" t="e">
        <f>AND(Heater!B6,"AAAAAGvv7p0=")</f>
        <v>#VALUE!</v>
      </c>
      <c r="FC25" t="e">
        <f>AND(Heater!C6,"AAAAAGvv7p4=")</f>
        <v>#VALUE!</v>
      </c>
      <c r="FD25" t="e">
        <f>AND(Heater!D6,"AAAAAGvv7p8=")</f>
        <v>#VALUE!</v>
      </c>
      <c r="FE25" t="e">
        <f>AND(Heater!E6,"AAAAAGvv7qA=")</f>
        <v>#VALUE!</v>
      </c>
      <c r="FF25" t="e">
        <f>AND(Heater!F6,"AAAAAGvv7qE=")</f>
        <v>#VALUE!</v>
      </c>
      <c r="FG25" t="e">
        <f>AND(Heater!G6,"AAAAAGvv7qI=")</f>
        <v>#VALUE!</v>
      </c>
      <c r="FH25" t="e">
        <f>AND(Heater!H6,"AAAAAGvv7qM=")</f>
        <v>#VALUE!</v>
      </c>
      <c r="FI25" t="e">
        <f>AND(Heater!#REF!,"AAAAAGvv7qQ=")</f>
        <v>#REF!</v>
      </c>
      <c r="FJ25" t="e">
        <f>AND(Heater!J6,"AAAAAGvv7qU=")</f>
        <v>#VALUE!</v>
      </c>
      <c r="FK25" t="e">
        <f>AND(Heater!K6,"AAAAAGvv7qY=")</f>
        <v>#VALUE!</v>
      </c>
      <c r="FL25" t="e">
        <f>AND(Heater!L6,"AAAAAGvv7qc=")</f>
        <v>#VALUE!</v>
      </c>
      <c r="FM25" t="e">
        <f>AND(Heater!M6,"AAAAAGvv7qg=")</f>
        <v>#VALUE!</v>
      </c>
      <c r="FN25" t="e">
        <f>AND(Heater!N6,"AAAAAGvv7qk=")</f>
        <v>#VALUE!</v>
      </c>
      <c r="FO25" t="e">
        <f>AND(Heater!O6,"AAAAAGvv7qo=")</f>
        <v>#VALUE!</v>
      </c>
      <c r="FP25">
        <f>IF(Heater!10:10,"AAAAAGvv7qs=",0)</f>
        <v>0</v>
      </c>
      <c r="FQ25" t="e">
        <f>AND(Heater!A10,"AAAAAGvv7qw=")</f>
        <v>#VALUE!</v>
      </c>
      <c r="FR25" t="e">
        <f>AND(Heater!B10,"AAAAAGvv7q0=")</f>
        <v>#VALUE!</v>
      </c>
      <c r="FS25" t="e">
        <f>AND(Heater!C10,"AAAAAGvv7q4=")</f>
        <v>#VALUE!</v>
      </c>
      <c r="FT25" t="e">
        <f>AND(Heater!D10,"AAAAAGvv7q8=")</f>
        <v>#VALUE!</v>
      </c>
      <c r="FU25" t="e">
        <f>AND(Heater!E10,"AAAAAGvv7rA=")</f>
        <v>#VALUE!</v>
      </c>
      <c r="FV25" t="e">
        <f>AND(Heater!F10,"AAAAAGvv7rE=")</f>
        <v>#VALUE!</v>
      </c>
      <c r="FW25" t="e">
        <f>AND(Heater!G10,"AAAAAGvv7rI=")</f>
        <v>#VALUE!</v>
      </c>
      <c r="FX25" t="e">
        <f>AND(Heater!H10,"AAAAAGvv7rM=")</f>
        <v>#VALUE!</v>
      </c>
      <c r="FY25" t="e">
        <f>AND(Heater!I10,"AAAAAGvv7rQ=")</f>
        <v>#VALUE!</v>
      </c>
      <c r="FZ25" t="e">
        <f>AND(Heater!J10,"AAAAAGvv7rU=")</f>
        <v>#VALUE!</v>
      </c>
      <c r="GA25" t="e">
        <f>AND(Heater!K10,"AAAAAGvv7rY=")</f>
        <v>#VALUE!</v>
      </c>
      <c r="GB25" t="e">
        <f>AND(Heater!L10,"AAAAAGvv7rc=")</f>
        <v>#VALUE!</v>
      </c>
      <c r="GC25" t="e">
        <f>AND(Heater!M10,"AAAAAGvv7rg=")</f>
        <v>#VALUE!</v>
      </c>
      <c r="GD25" t="e">
        <f>AND(Heater!N10,"AAAAAGvv7rk=")</f>
        <v>#VALUE!</v>
      </c>
      <c r="GE25" t="e">
        <f>AND(Heater!O10,"AAAAAGvv7ro=")</f>
        <v>#VALUE!</v>
      </c>
      <c r="GF25" t="e">
        <f>IF(Heater!#REF!,"AAAAAGvv7rs=",0)</f>
        <v>#REF!</v>
      </c>
      <c r="GG25" t="e">
        <f>AND(Heater!#REF!,"AAAAAGvv7rw=")</f>
        <v>#REF!</v>
      </c>
      <c r="GH25" t="e">
        <f>AND(Heater!#REF!,"AAAAAGvv7r0=")</f>
        <v>#REF!</v>
      </c>
      <c r="GI25" t="e">
        <f>AND(Heater!#REF!,"AAAAAGvv7r4=")</f>
        <v>#REF!</v>
      </c>
      <c r="GJ25" t="e">
        <f>AND(Heater!#REF!,"AAAAAGvv7r8=")</f>
        <v>#REF!</v>
      </c>
      <c r="GK25" t="e">
        <f>AND(Heater!#REF!,"AAAAAGvv7sA=")</f>
        <v>#REF!</v>
      </c>
      <c r="GL25" t="e">
        <f>AND(Heater!#REF!,"AAAAAGvv7sE=")</f>
        <v>#REF!</v>
      </c>
      <c r="GM25" t="e">
        <f>AND(Heater!#REF!,"AAAAAGvv7sI=")</f>
        <v>#REF!</v>
      </c>
      <c r="GN25" t="e">
        <f>AND(Heater!#REF!,"AAAAAGvv7sM=")</f>
        <v>#REF!</v>
      </c>
      <c r="GO25" t="e">
        <f>AND(Heater!#REF!,"AAAAAGvv7sQ=")</f>
        <v>#REF!</v>
      </c>
      <c r="GP25" t="e">
        <f>AND(Heater!#REF!,"AAAAAGvv7sU=")</f>
        <v>#REF!</v>
      </c>
      <c r="GQ25" t="e">
        <f>AND(Heater!#REF!,"AAAAAGvv7sY=")</f>
        <v>#REF!</v>
      </c>
      <c r="GR25" t="e">
        <f>AND(Heater!#REF!,"AAAAAGvv7sc=")</f>
        <v>#REF!</v>
      </c>
      <c r="GS25" t="e">
        <f>AND(Heater!#REF!,"AAAAAGvv7sg=")</f>
        <v>#REF!</v>
      </c>
      <c r="GT25" t="e">
        <f>AND(Heater!#REF!,"AAAAAGvv7sk=")</f>
        <v>#REF!</v>
      </c>
      <c r="GU25" t="e">
        <f>AND(Heater!#REF!,"AAAAAGvv7so=")</f>
        <v>#REF!</v>
      </c>
      <c r="GV25" t="e">
        <f>IF(Heater!#REF!,"AAAAAGvv7ss=",0)</f>
        <v>#REF!</v>
      </c>
      <c r="GW25" t="e">
        <f>AND(Heater!#REF!,"AAAAAGvv7sw=")</f>
        <v>#REF!</v>
      </c>
      <c r="GX25" t="e">
        <f>AND(Heater!#REF!,"AAAAAGvv7s0=")</f>
        <v>#REF!</v>
      </c>
      <c r="GY25" t="e">
        <f>AND(Heater!#REF!,"AAAAAGvv7s4=")</f>
        <v>#REF!</v>
      </c>
      <c r="GZ25" t="e">
        <f>AND(Heater!#REF!,"AAAAAGvv7s8=")</f>
        <v>#REF!</v>
      </c>
      <c r="HA25" t="e">
        <f>AND(Heater!#REF!,"AAAAAGvv7tA=")</f>
        <v>#REF!</v>
      </c>
      <c r="HB25" t="e">
        <f>AND(Heater!#REF!,"AAAAAGvv7tE=")</f>
        <v>#REF!</v>
      </c>
      <c r="HC25" t="e">
        <f>AND(Heater!#REF!,"AAAAAGvv7tI=")</f>
        <v>#REF!</v>
      </c>
      <c r="HD25" t="e">
        <f>AND(Heater!#REF!,"AAAAAGvv7tM=")</f>
        <v>#REF!</v>
      </c>
      <c r="HE25" t="e">
        <f>AND(Heater!#REF!,"AAAAAGvv7tQ=")</f>
        <v>#REF!</v>
      </c>
      <c r="HF25" t="e">
        <f>AND(Heater!#REF!,"AAAAAGvv7tU=")</f>
        <v>#REF!</v>
      </c>
      <c r="HG25" t="e">
        <f>AND(Heater!#REF!,"AAAAAGvv7tY=")</f>
        <v>#REF!</v>
      </c>
      <c r="HH25" t="e">
        <f>AND(Heater!#REF!,"AAAAAGvv7tc=")</f>
        <v>#REF!</v>
      </c>
      <c r="HI25" t="e">
        <f>AND(Heater!#REF!,"AAAAAGvv7tg=")</f>
        <v>#REF!</v>
      </c>
      <c r="HJ25" t="e">
        <f>AND(Heater!#REF!,"AAAAAGvv7tk=")</f>
        <v>#REF!</v>
      </c>
      <c r="HK25" t="e">
        <f>AND(Heater!#REF!,"AAAAAGvv7to=")</f>
        <v>#REF!</v>
      </c>
      <c r="HL25" t="e">
        <f>IF(Heater!#REF!,"AAAAAGvv7ts=",0)</f>
        <v>#REF!</v>
      </c>
      <c r="HM25" t="e">
        <f>AND(Heater!#REF!,"AAAAAGvv7tw=")</f>
        <v>#REF!</v>
      </c>
      <c r="HN25" t="e">
        <f>AND(Heater!#REF!,"AAAAAGvv7t0=")</f>
        <v>#REF!</v>
      </c>
      <c r="HO25" t="e">
        <f>AND(Heater!#REF!,"AAAAAGvv7t4=")</f>
        <v>#REF!</v>
      </c>
      <c r="HP25" t="e">
        <f>AND(Heater!#REF!,"AAAAAGvv7t8=")</f>
        <v>#REF!</v>
      </c>
      <c r="HQ25" t="e">
        <f>AND(Heater!#REF!,"AAAAAGvv7uA=")</f>
        <v>#REF!</v>
      </c>
      <c r="HR25" t="e">
        <f>AND(Heater!#REF!,"AAAAAGvv7uE=")</f>
        <v>#REF!</v>
      </c>
      <c r="HS25" t="e">
        <f>AND(Heater!#REF!,"AAAAAGvv7uI=")</f>
        <v>#REF!</v>
      </c>
      <c r="HT25" t="e">
        <f>AND(Heater!#REF!,"AAAAAGvv7uM=")</f>
        <v>#REF!</v>
      </c>
      <c r="HU25" t="e">
        <f>AND(Heater!#REF!,"AAAAAGvv7uQ=")</f>
        <v>#REF!</v>
      </c>
      <c r="HV25" t="e">
        <f>AND(Heater!#REF!,"AAAAAGvv7uU=")</f>
        <v>#REF!</v>
      </c>
      <c r="HW25" t="e">
        <f>AND(Heater!#REF!,"AAAAAGvv7uY=")</f>
        <v>#REF!</v>
      </c>
      <c r="HX25" t="e">
        <f>AND(Heater!#REF!,"AAAAAGvv7uc=")</f>
        <v>#REF!</v>
      </c>
      <c r="HY25" t="e">
        <f>AND(Heater!#REF!,"AAAAAGvv7ug=")</f>
        <v>#REF!</v>
      </c>
      <c r="HZ25" t="e">
        <f>AND(Heater!#REF!,"AAAAAGvv7uk=")</f>
        <v>#REF!</v>
      </c>
      <c r="IA25" t="e">
        <f>AND(Heater!#REF!,"AAAAAGvv7uo=")</f>
        <v>#REF!</v>
      </c>
      <c r="IB25" t="e">
        <f>IF(Heater!#REF!,"AAAAAGvv7us=",0)</f>
        <v>#REF!</v>
      </c>
      <c r="IC25" t="e">
        <f>AND(Heater!#REF!,"AAAAAGvv7uw=")</f>
        <v>#REF!</v>
      </c>
      <c r="ID25" t="e">
        <f>AND(Heater!#REF!,"AAAAAGvv7u0=")</f>
        <v>#REF!</v>
      </c>
      <c r="IE25" t="e">
        <f>AND(Heater!#REF!,"AAAAAGvv7u4=")</f>
        <v>#REF!</v>
      </c>
      <c r="IF25" t="e">
        <f>AND(Heater!#REF!,"AAAAAGvv7u8=")</f>
        <v>#REF!</v>
      </c>
      <c r="IG25" t="e">
        <f>AND(Heater!#REF!,"AAAAAGvv7vA=")</f>
        <v>#REF!</v>
      </c>
      <c r="IH25" t="e">
        <f>AND(Heater!#REF!,"AAAAAGvv7vE=")</f>
        <v>#REF!</v>
      </c>
      <c r="II25" t="e">
        <f>AND(Heater!#REF!,"AAAAAGvv7vI=")</f>
        <v>#REF!</v>
      </c>
      <c r="IJ25" t="e">
        <f>AND(Heater!#REF!,"AAAAAGvv7vM=")</f>
        <v>#REF!</v>
      </c>
      <c r="IK25" t="e">
        <f>AND(Heater!#REF!,"AAAAAGvv7vQ=")</f>
        <v>#REF!</v>
      </c>
      <c r="IL25" t="e">
        <f>AND(Heater!#REF!,"AAAAAGvv7vU=")</f>
        <v>#REF!</v>
      </c>
      <c r="IM25" t="e">
        <f>AND(Heater!#REF!,"AAAAAGvv7vY=")</f>
        <v>#REF!</v>
      </c>
      <c r="IN25" t="e">
        <f>AND(Heater!#REF!,"AAAAAGvv7vc=")</f>
        <v>#REF!</v>
      </c>
      <c r="IO25" t="e">
        <f>AND(Heater!#REF!,"AAAAAGvv7vg=")</f>
        <v>#REF!</v>
      </c>
      <c r="IP25" t="e">
        <f>AND(Heater!#REF!,"AAAAAGvv7vk=")</f>
        <v>#REF!</v>
      </c>
      <c r="IQ25" t="e">
        <f>AND(Heater!#REF!,"AAAAAGvv7vo=")</f>
        <v>#REF!</v>
      </c>
      <c r="IR25" t="e">
        <f>IF(Heater!#REF!,"AAAAAGvv7vs=",0)</f>
        <v>#REF!</v>
      </c>
      <c r="IS25" t="e">
        <f>AND(Heater!#REF!,"AAAAAGvv7vw=")</f>
        <v>#REF!</v>
      </c>
      <c r="IT25" t="e">
        <f>AND(Heater!#REF!,"AAAAAGvv7v0=")</f>
        <v>#REF!</v>
      </c>
      <c r="IU25" t="e">
        <f>AND(Heater!#REF!,"AAAAAGvv7v4=")</f>
        <v>#REF!</v>
      </c>
      <c r="IV25" t="e">
        <f>AND(Heater!#REF!,"AAAAAGvv7v8=")</f>
        <v>#REF!</v>
      </c>
    </row>
    <row r="26" spans="1:256">
      <c r="A26" t="e">
        <f>AND(Heater!#REF!,"AAAAAA9y+wA=")</f>
        <v>#REF!</v>
      </c>
      <c r="B26" t="e">
        <f>AND(Heater!#REF!,"AAAAAA9y+wE=")</f>
        <v>#REF!</v>
      </c>
      <c r="C26" t="e">
        <f>AND(Heater!#REF!,"AAAAAA9y+wI=")</f>
        <v>#REF!</v>
      </c>
      <c r="D26" t="e">
        <f>AND(Heater!#REF!,"AAAAAA9y+wM=")</f>
        <v>#REF!</v>
      </c>
      <c r="E26" t="e">
        <f>AND(Heater!#REF!,"AAAAAA9y+wQ=")</f>
        <v>#REF!</v>
      </c>
      <c r="F26" t="e">
        <f>AND(Heater!#REF!,"AAAAAA9y+wU=")</f>
        <v>#REF!</v>
      </c>
      <c r="G26" t="e">
        <f>AND(Heater!#REF!,"AAAAAA9y+wY=")</f>
        <v>#REF!</v>
      </c>
      <c r="H26" t="e">
        <f>AND(Heater!#REF!,"AAAAAA9y+wc=")</f>
        <v>#REF!</v>
      </c>
      <c r="I26" t="e">
        <f>AND(Heater!#REF!,"AAAAAA9y+wg=")</f>
        <v>#REF!</v>
      </c>
      <c r="J26" t="e">
        <f>AND(Heater!#REF!,"AAAAAA9y+wk=")</f>
        <v>#REF!</v>
      </c>
      <c r="K26" t="e">
        <f>AND(Heater!#REF!,"AAAAAA9y+wo=")</f>
        <v>#REF!</v>
      </c>
      <c r="L26" t="e">
        <f>IF(Heater!#REF!,"AAAAAA9y+ws=",0)</f>
        <v>#REF!</v>
      </c>
      <c r="M26" t="e">
        <f>AND(Heater!#REF!,"AAAAAA9y+ww=")</f>
        <v>#REF!</v>
      </c>
      <c r="N26" t="e">
        <f>AND(Heater!#REF!,"AAAAAA9y+w0=")</f>
        <v>#REF!</v>
      </c>
      <c r="O26" t="e">
        <f>AND(Heater!#REF!,"AAAAAA9y+w4=")</f>
        <v>#REF!</v>
      </c>
      <c r="P26" t="e">
        <f>AND(Heater!#REF!,"AAAAAA9y+w8=")</f>
        <v>#REF!</v>
      </c>
      <c r="Q26" t="e">
        <f>AND(Heater!#REF!,"AAAAAA9y+xA=")</f>
        <v>#REF!</v>
      </c>
      <c r="R26" t="e">
        <f>AND(Heater!#REF!,"AAAAAA9y+xE=")</f>
        <v>#REF!</v>
      </c>
      <c r="S26" t="e">
        <f>AND(Heater!#REF!,"AAAAAA9y+xI=")</f>
        <v>#REF!</v>
      </c>
      <c r="T26" t="e">
        <f>AND(Heater!#REF!,"AAAAAA9y+xM=")</f>
        <v>#REF!</v>
      </c>
      <c r="U26" t="e">
        <f>AND(Heater!#REF!,"AAAAAA9y+xQ=")</f>
        <v>#REF!</v>
      </c>
      <c r="V26" t="e">
        <f>AND(Heater!#REF!,"AAAAAA9y+xU=")</f>
        <v>#REF!</v>
      </c>
      <c r="W26" t="e">
        <f>AND(Heater!#REF!,"AAAAAA9y+xY=")</f>
        <v>#REF!</v>
      </c>
      <c r="X26" t="e">
        <f>AND(Heater!#REF!,"AAAAAA9y+xc=")</f>
        <v>#REF!</v>
      </c>
      <c r="Y26" t="e">
        <f>AND(Heater!#REF!,"AAAAAA9y+xg=")</f>
        <v>#REF!</v>
      </c>
      <c r="Z26" t="e">
        <f>AND(Heater!#REF!,"AAAAAA9y+xk=")</f>
        <v>#REF!</v>
      </c>
      <c r="AA26" t="e">
        <f>AND(Heater!#REF!,"AAAAAA9y+xo=")</f>
        <v>#REF!</v>
      </c>
      <c r="AB26" t="e">
        <f>IF(Heater!#REF!,"AAAAAA9y+xs=",0)</f>
        <v>#REF!</v>
      </c>
      <c r="AC26" t="e">
        <f>AND(Heater!#REF!,"AAAAAA9y+xw=")</f>
        <v>#REF!</v>
      </c>
      <c r="AD26" t="e">
        <f>AND(Heater!#REF!,"AAAAAA9y+x0=")</f>
        <v>#REF!</v>
      </c>
      <c r="AE26" t="e">
        <f>AND(Heater!#REF!,"AAAAAA9y+x4=")</f>
        <v>#REF!</v>
      </c>
      <c r="AF26" t="e">
        <f>AND(Heater!#REF!,"AAAAAA9y+x8=")</f>
        <v>#REF!</v>
      </c>
      <c r="AG26" t="e">
        <f>AND(Heater!#REF!,"AAAAAA9y+yA=")</f>
        <v>#REF!</v>
      </c>
      <c r="AH26" t="e">
        <f>AND(Heater!#REF!,"AAAAAA9y+yE=")</f>
        <v>#REF!</v>
      </c>
      <c r="AI26" t="e">
        <f>AND(Heater!#REF!,"AAAAAA9y+yI=")</f>
        <v>#REF!</v>
      </c>
      <c r="AJ26" t="e">
        <f>AND(Heater!#REF!,"AAAAAA9y+yM=")</f>
        <v>#REF!</v>
      </c>
      <c r="AK26" t="e">
        <f>AND(Heater!#REF!,"AAAAAA9y+yQ=")</f>
        <v>#REF!</v>
      </c>
      <c r="AL26" t="e">
        <f>AND(Heater!#REF!,"AAAAAA9y+yU=")</f>
        <v>#REF!</v>
      </c>
      <c r="AM26" t="e">
        <f>AND(Heater!#REF!,"AAAAAA9y+yY=")</f>
        <v>#REF!</v>
      </c>
      <c r="AN26" t="e">
        <f>AND(Heater!#REF!,"AAAAAA9y+yc=")</f>
        <v>#REF!</v>
      </c>
      <c r="AO26" t="e">
        <f>AND(Heater!#REF!,"AAAAAA9y+yg=")</f>
        <v>#REF!</v>
      </c>
      <c r="AP26" t="e">
        <f>AND(Heater!#REF!,"AAAAAA9y+yk=")</f>
        <v>#REF!</v>
      </c>
      <c r="AQ26" t="e">
        <f>AND(Heater!#REF!,"AAAAAA9y+yo=")</f>
        <v>#REF!</v>
      </c>
      <c r="AR26" t="e">
        <f>IF(Heater!#REF!,"AAAAAA9y+ys=",0)</f>
        <v>#REF!</v>
      </c>
      <c r="AS26" t="e">
        <f>AND(Heater!#REF!,"AAAAAA9y+yw=")</f>
        <v>#REF!</v>
      </c>
      <c r="AT26" t="e">
        <f>AND(Heater!#REF!,"AAAAAA9y+y0=")</f>
        <v>#REF!</v>
      </c>
      <c r="AU26" t="e">
        <f>AND(Heater!#REF!,"AAAAAA9y+y4=")</f>
        <v>#REF!</v>
      </c>
      <c r="AV26" t="e">
        <f>AND(Heater!#REF!,"AAAAAA9y+y8=")</f>
        <v>#REF!</v>
      </c>
      <c r="AW26" t="e">
        <f>AND(Heater!#REF!,"AAAAAA9y+zA=")</f>
        <v>#REF!</v>
      </c>
      <c r="AX26" t="e">
        <f>AND(Heater!#REF!,"AAAAAA9y+zE=")</f>
        <v>#REF!</v>
      </c>
      <c r="AY26" t="e">
        <f>AND(Heater!#REF!,"AAAAAA9y+zI=")</f>
        <v>#REF!</v>
      </c>
      <c r="AZ26" t="e">
        <f>AND(Heater!#REF!,"AAAAAA9y+zM=")</f>
        <v>#REF!</v>
      </c>
      <c r="BA26" t="e">
        <f>AND(Heater!#REF!,"AAAAAA9y+zQ=")</f>
        <v>#REF!</v>
      </c>
      <c r="BB26" t="e">
        <f>AND(Heater!#REF!,"AAAAAA9y+zU=")</f>
        <v>#REF!</v>
      </c>
      <c r="BC26" t="e">
        <f>AND(Heater!#REF!,"AAAAAA9y+zY=")</f>
        <v>#REF!</v>
      </c>
      <c r="BD26" t="e">
        <f>AND(Heater!#REF!,"AAAAAA9y+zc=")</f>
        <v>#REF!</v>
      </c>
      <c r="BE26" t="e">
        <f>AND(Heater!#REF!,"AAAAAA9y+zg=")</f>
        <v>#REF!</v>
      </c>
      <c r="BF26" t="e">
        <f>AND(Heater!#REF!,"AAAAAA9y+zk=")</f>
        <v>#REF!</v>
      </c>
      <c r="BG26" t="e">
        <f>AND(Heater!#REF!,"AAAAAA9y+zo=")</f>
        <v>#REF!</v>
      </c>
      <c r="BH26" t="e">
        <f>IF(Heater!#REF!,"AAAAAA9y+zs=",0)</f>
        <v>#REF!</v>
      </c>
      <c r="BI26" t="e">
        <f>AND(Heater!#REF!,"AAAAAA9y+zw=")</f>
        <v>#REF!</v>
      </c>
      <c r="BJ26" t="e">
        <f>AND(Heater!#REF!,"AAAAAA9y+z0=")</f>
        <v>#REF!</v>
      </c>
      <c r="BK26" t="e">
        <f>AND(Heater!#REF!,"AAAAAA9y+z4=")</f>
        <v>#REF!</v>
      </c>
      <c r="BL26" t="e">
        <f>AND(Heater!#REF!,"AAAAAA9y+z8=")</f>
        <v>#REF!</v>
      </c>
      <c r="BM26" t="e">
        <f>AND(Heater!#REF!,"AAAAAA9y+0A=")</f>
        <v>#REF!</v>
      </c>
      <c r="BN26" t="e">
        <f>AND(Heater!#REF!,"AAAAAA9y+0E=")</f>
        <v>#REF!</v>
      </c>
      <c r="BO26" t="e">
        <f>AND(Heater!#REF!,"AAAAAA9y+0I=")</f>
        <v>#REF!</v>
      </c>
      <c r="BP26" t="e">
        <f>AND(Heater!#REF!,"AAAAAA9y+0M=")</f>
        <v>#REF!</v>
      </c>
      <c r="BQ26" t="e">
        <f>AND(Heater!#REF!,"AAAAAA9y+0Q=")</f>
        <v>#REF!</v>
      </c>
      <c r="BR26" t="e">
        <f>AND(Heater!#REF!,"AAAAAA9y+0U=")</f>
        <v>#REF!</v>
      </c>
      <c r="BS26" t="e">
        <f>AND(Heater!#REF!,"AAAAAA9y+0Y=")</f>
        <v>#REF!</v>
      </c>
      <c r="BT26" t="e">
        <f>AND(Heater!#REF!,"AAAAAA9y+0c=")</f>
        <v>#REF!</v>
      </c>
      <c r="BU26" t="e">
        <f>AND(Heater!#REF!,"AAAAAA9y+0g=")</f>
        <v>#REF!</v>
      </c>
      <c r="BV26" t="e">
        <f>AND(Heater!#REF!,"AAAAAA9y+0k=")</f>
        <v>#REF!</v>
      </c>
      <c r="BW26" t="e">
        <f>AND(Heater!#REF!,"AAAAAA9y+0o=")</f>
        <v>#REF!</v>
      </c>
      <c r="BX26">
        <f>IF(Heater!11:11,"AAAAAA9y+0s=",0)</f>
        <v>0</v>
      </c>
      <c r="BY26" t="e">
        <f>AND(Heater!A11,"AAAAAA9y+0w=")</f>
        <v>#VALUE!</v>
      </c>
      <c r="BZ26" t="e">
        <f>AND(Heater!B11,"AAAAAA9y+00=")</f>
        <v>#VALUE!</v>
      </c>
      <c r="CA26" t="e">
        <f>AND(Heater!C11,"AAAAAA9y+04=")</f>
        <v>#VALUE!</v>
      </c>
      <c r="CB26" t="e">
        <f>AND(Heater!D11,"AAAAAA9y+08=")</f>
        <v>#VALUE!</v>
      </c>
      <c r="CC26" t="e">
        <f>AND(Heater!E11,"AAAAAA9y+1A=")</f>
        <v>#VALUE!</v>
      </c>
      <c r="CD26" t="e">
        <f>AND(Heater!F11,"AAAAAA9y+1E=")</f>
        <v>#VALUE!</v>
      </c>
      <c r="CE26" t="e">
        <f>AND(Heater!G11,"AAAAAA9y+1I=")</f>
        <v>#VALUE!</v>
      </c>
      <c r="CF26" t="e">
        <f>AND(Heater!H11,"AAAAAA9y+1M=")</f>
        <v>#VALUE!</v>
      </c>
      <c r="CG26" t="e">
        <f>AND(Heater!I11,"AAAAAA9y+1Q=")</f>
        <v>#VALUE!</v>
      </c>
      <c r="CH26" t="e">
        <f>AND(Heater!J11,"AAAAAA9y+1U=")</f>
        <v>#VALUE!</v>
      </c>
      <c r="CI26" t="e">
        <f>AND(Heater!K11,"AAAAAA9y+1Y=")</f>
        <v>#VALUE!</v>
      </c>
      <c r="CJ26" t="e">
        <f>AND(Heater!L11,"AAAAAA9y+1c=")</f>
        <v>#VALUE!</v>
      </c>
      <c r="CK26" t="e">
        <f>AND(Heater!M11,"AAAAAA9y+1g=")</f>
        <v>#VALUE!</v>
      </c>
      <c r="CL26" t="e">
        <f>AND(Heater!N11,"AAAAAA9y+1k=")</f>
        <v>#VALUE!</v>
      </c>
      <c r="CM26" t="e">
        <f>AND(Heater!O11,"AAAAAA9y+1o=")</f>
        <v>#VALUE!</v>
      </c>
      <c r="CN26">
        <f>IF(Heater!27:27,"AAAAAA9y+1s=",0)</f>
        <v>0</v>
      </c>
      <c r="CO26" t="e">
        <f>AND(Heater!A27,"AAAAAA9y+1w=")</f>
        <v>#VALUE!</v>
      </c>
      <c r="CP26" t="e">
        <f>AND(Heater!B27,"AAAAAA9y+10=")</f>
        <v>#VALUE!</v>
      </c>
      <c r="CQ26" t="e">
        <f>AND(Heater!C27,"AAAAAA9y+14=")</f>
        <v>#VALUE!</v>
      </c>
      <c r="CR26" t="e">
        <f>AND(Heater!D27,"AAAAAA9y+18=")</f>
        <v>#VALUE!</v>
      </c>
      <c r="CS26" t="e">
        <f>AND(Heater!E27,"AAAAAA9y+2A=")</f>
        <v>#VALUE!</v>
      </c>
      <c r="CT26" t="e">
        <f>AND(Heater!F27,"AAAAAA9y+2E=")</f>
        <v>#VALUE!</v>
      </c>
      <c r="CU26" t="e">
        <f>AND(Heater!G27,"AAAAAA9y+2I=")</f>
        <v>#VALUE!</v>
      </c>
      <c r="CV26" t="e">
        <f>AND(Heater!H27,"AAAAAA9y+2M=")</f>
        <v>#VALUE!</v>
      </c>
      <c r="CW26" t="e">
        <f>AND(Heater!I27,"AAAAAA9y+2Q=")</f>
        <v>#VALUE!</v>
      </c>
      <c r="CX26" t="e">
        <f>AND(Heater!J27,"AAAAAA9y+2U=")</f>
        <v>#VALUE!</v>
      </c>
      <c r="CY26" t="e">
        <f>AND(Heater!K27,"AAAAAA9y+2Y=")</f>
        <v>#VALUE!</v>
      </c>
      <c r="CZ26" t="e">
        <f>AND(Heater!L27,"AAAAAA9y+2c=")</f>
        <v>#VALUE!</v>
      </c>
      <c r="DA26" t="e">
        <f>AND(Heater!M27,"AAAAAA9y+2g=")</f>
        <v>#VALUE!</v>
      </c>
      <c r="DB26" t="e">
        <f>AND(Heater!N27,"AAAAAA9y+2k=")</f>
        <v>#VALUE!</v>
      </c>
      <c r="DC26" t="e">
        <f>AND(Heater!O27,"AAAAAA9y+2o=")</f>
        <v>#VALUE!</v>
      </c>
      <c r="DD26" t="e">
        <f>IF(Heater!#REF!,"AAAAAA9y+2s=",0)</f>
        <v>#REF!</v>
      </c>
      <c r="DE26" t="e">
        <f>AND(Heater!#REF!,"AAAAAA9y+2w=")</f>
        <v>#REF!</v>
      </c>
      <c r="DF26" t="e">
        <f>AND(Heater!#REF!,"AAAAAA9y+20=")</f>
        <v>#REF!</v>
      </c>
      <c r="DG26" t="e">
        <f>AND(Heater!#REF!,"AAAAAA9y+24=")</f>
        <v>#REF!</v>
      </c>
      <c r="DH26" t="e">
        <f>AND(Heater!#REF!,"AAAAAA9y+28=")</f>
        <v>#REF!</v>
      </c>
      <c r="DI26" t="e">
        <f>AND(Heater!#REF!,"AAAAAA9y+3A=")</f>
        <v>#REF!</v>
      </c>
      <c r="DJ26" t="e">
        <f>AND(Heater!#REF!,"AAAAAA9y+3E=")</f>
        <v>#REF!</v>
      </c>
      <c r="DK26" t="e">
        <f>AND(Heater!#REF!,"AAAAAA9y+3I=")</f>
        <v>#REF!</v>
      </c>
      <c r="DL26" t="e">
        <f>AND(Heater!#REF!,"AAAAAA9y+3M=")</f>
        <v>#REF!</v>
      </c>
      <c r="DM26" t="e">
        <f>AND(Heater!#REF!,"AAAAAA9y+3Q=")</f>
        <v>#REF!</v>
      </c>
      <c r="DN26" t="e">
        <f>AND(Heater!#REF!,"AAAAAA9y+3U=")</f>
        <v>#REF!</v>
      </c>
      <c r="DO26" t="e">
        <f>AND(Heater!#REF!,"AAAAAA9y+3Y=")</f>
        <v>#REF!</v>
      </c>
      <c r="DP26" t="e">
        <f>AND(Heater!#REF!,"AAAAAA9y+3c=")</f>
        <v>#REF!</v>
      </c>
      <c r="DQ26" t="e">
        <f>AND(Heater!#REF!,"AAAAAA9y+3g=")</f>
        <v>#REF!</v>
      </c>
      <c r="DR26" t="e">
        <f>AND(Heater!#REF!,"AAAAAA9y+3k=")</f>
        <v>#REF!</v>
      </c>
      <c r="DS26" t="e">
        <f>AND(Heater!#REF!,"AAAAAA9y+3o=")</f>
        <v>#REF!</v>
      </c>
      <c r="DT26" t="e">
        <f>IF(Heater!#REF!,"AAAAAA9y+3s=",0)</f>
        <v>#REF!</v>
      </c>
      <c r="DU26" t="e">
        <f>AND(Heater!#REF!,"AAAAAA9y+3w=")</f>
        <v>#REF!</v>
      </c>
      <c r="DV26" t="e">
        <f>AND(Heater!#REF!,"AAAAAA9y+30=")</f>
        <v>#REF!</v>
      </c>
      <c r="DW26" t="e">
        <f>AND(Heater!#REF!,"AAAAAA9y+34=")</f>
        <v>#REF!</v>
      </c>
      <c r="DX26" t="e">
        <f>AND(Heater!#REF!,"AAAAAA9y+38=")</f>
        <v>#REF!</v>
      </c>
      <c r="DY26" t="e">
        <f>AND(Heater!#REF!,"AAAAAA9y+4A=")</f>
        <v>#REF!</v>
      </c>
      <c r="DZ26" t="e">
        <f>AND(Heater!#REF!,"AAAAAA9y+4E=")</f>
        <v>#REF!</v>
      </c>
      <c r="EA26" t="e">
        <f>AND(Heater!#REF!,"AAAAAA9y+4I=")</f>
        <v>#REF!</v>
      </c>
      <c r="EB26" t="e">
        <f>AND(Heater!#REF!,"AAAAAA9y+4M=")</f>
        <v>#REF!</v>
      </c>
      <c r="EC26" t="e">
        <f>AND(Heater!#REF!,"AAAAAA9y+4Q=")</f>
        <v>#REF!</v>
      </c>
      <c r="ED26" t="e">
        <f>AND(Heater!#REF!,"AAAAAA9y+4U=")</f>
        <v>#REF!</v>
      </c>
      <c r="EE26" t="e">
        <f>AND(Heater!#REF!,"AAAAAA9y+4Y=")</f>
        <v>#REF!</v>
      </c>
      <c r="EF26" t="e">
        <f>AND(Heater!#REF!,"AAAAAA9y+4c=")</f>
        <v>#REF!</v>
      </c>
      <c r="EG26" t="e">
        <f>AND(Heater!#REF!,"AAAAAA9y+4g=")</f>
        <v>#REF!</v>
      </c>
      <c r="EH26" t="e">
        <f>AND(Heater!#REF!,"AAAAAA9y+4k=")</f>
        <v>#REF!</v>
      </c>
      <c r="EI26" t="e">
        <f>AND(Heater!#REF!,"AAAAAA9y+4o=")</f>
        <v>#REF!</v>
      </c>
      <c r="EJ26" t="e">
        <f>IF(Heater!#REF!,"AAAAAA9y+4s=",0)</f>
        <v>#REF!</v>
      </c>
      <c r="EK26" t="e">
        <f>AND(Heater!#REF!,"AAAAAA9y+4w=")</f>
        <v>#REF!</v>
      </c>
      <c r="EL26" t="e">
        <f>AND(Heater!#REF!,"AAAAAA9y+40=")</f>
        <v>#REF!</v>
      </c>
      <c r="EM26" t="e">
        <f>AND(Heater!#REF!,"AAAAAA9y+44=")</f>
        <v>#REF!</v>
      </c>
      <c r="EN26" t="e">
        <f>AND(Heater!#REF!,"AAAAAA9y+48=")</f>
        <v>#REF!</v>
      </c>
      <c r="EO26" t="e">
        <f>AND(Heater!#REF!,"AAAAAA9y+5A=")</f>
        <v>#REF!</v>
      </c>
      <c r="EP26" t="e">
        <f>AND(Heater!#REF!,"AAAAAA9y+5E=")</f>
        <v>#REF!</v>
      </c>
      <c r="EQ26" t="e">
        <f>AND(Heater!#REF!,"AAAAAA9y+5I=")</f>
        <v>#REF!</v>
      </c>
      <c r="ER26" t="e">
        <f>AND(Heater!#REF!,"AAAAAA9y+5M=")</f>
        <v>#REF!</v>
      </c>
      <c r="ES26" t="e">
        <f>AND(Heater!#REF!,"AAAAAA9y+5Q=")</f>
        <v>#REF!</v>
      </c>
      <c r="ET26" t="e">
        <f>AND(Heater!#REF!,"AAAAAA9y+5U=")</f>
        <v>#REF!</v>
      </c>
      <c r="EU26" t="e">
        <f>AND(Heater!#REF!,"AAAAAA9y+5Y=")</f>
        <v>#REF!</v>
      </c>
      <c r="EV26" t="e">
        <f>AND(Heater!#REF!,"AAAAAA9y+5c=")</f>
        <v>#REF!</v>
      </c>
      <c r="EW26" t="e">
        <f>AND(Heater!#REF!,"AAAAAA9y+5g=")</f>
        <v>#REF!</v>
      </c>
      <c r="EX26" t="e">
        <f>AND(Heater!#REF!,"AAAAAA9y+5k=")</f>
        <v>#REF!</v>
      </c>
      <c r="EY26" t="e">
        <f>AND(Heater!#REF!,"AAAAAA9y+5o=")</f>
        <v>#REF!</v>
      </c>
      <c r="EZ26" t="e">
        <f>IF(Heater!#REF!,"AAAAAA9y+5s=",0)</f>
        <v>#REF!</v>
      </c>
      <c r="FA26" t="e">
        <f>AND(Heater!#REF!,"AAAAAA9y+5w=")</f>
        <v>#REF!</v>
      </c>
      <c r="FB26" t="e">
        <f>AND(Heater!#REF!,"AAAAAA9y+50=")</f>
        <v>#REF!</v>
      </c>
      <c r="FC26" t="e">
        <f>AND(Heater!#REF!,"AAAAAA9y+54=")</f>
        <v>#REF!</v>
      </c>
      <c r="FD26" t="e">
        <f>AND(Heater!#REF!,"AAAAAA9y+58=")</f>
        <v>#REF!</v>
      </c>
      <c r="FE26" t="e">
        <f>AND(Heater!#REF!,"AAAAAA9y+6A=")</f>
        <v>#REF!</v>
      </c>
      <c r="FF26" t="e">
        <f>AND(Heater!#REF!,"AAAAAA9y+6E=")</f>
        <v>#REF!</v>
      </c>
      <c r="FG26" t="e">
        <f>AND(Heater!#REF!,"AAAAAA9y+6I=")</f>
        <v>#REF!</v>
      </c>
      <c r="FH26" t="e">
        <f>AND(Heater!#REF!,"AAAAAA9y+6M=")</f>
        <v>#REF!</v>
      </c>
      <c r="FI26" t="e">
        <f>AND(Heater!#REF!,"AAAAAA9y+6Q=")</f>
        <v>#REF!</v>
      </c>
      <c r="FJ26" t="e">
        <f>AND(Heater!#REF!,"AAAAAA9y+6U=")</f>
        <v>#REF!</v>
      </c>
      <c r="FK26" t="e">
        <f>AND(Heater!#REF!,"AAAAAA9y+6Y=")</f>
        <v>#REF!</v>
      </c>
      <c r="FL26" t="e">
        <f>AND(Heater!#REF!,"AAAAAA9y+6c=")</f>
        <v>#REF!</v>
      </c>
      <c r="FM26" t="e">
        <f>AND(Heater!#REF!,"AAAAAA9y+6g=")</f>
        <v>#REF!</v>
      </c>
      <c r="FN26" t="e">
        <f>AND(Heater!#REF!,"AAAAAA9y+6k=")</f>
        <v>#REF!</v>
      </c>
      <c r="FO26" t="e">
        <f>AND(Heater!#REF!,"AAAAAA9y+6o=")</f>
        <v>#REF!</v>
      </c>
      <c r="FP26" t="e">
        <f>IF(Heater!#REF!,"AAAAAA9y+6s=",0)</f>
        <v>#REF!</v>
      </c>
      <c r="FQ26" t="e">
        <f>AND(Heater!#REF!,"AAAAAA9y+6w=")</f>
        <v>#REF!</v>
      </c>
      <c r="FR26" t="e">
        <f>AND(Heater!#REF!,"AAAAAA9y+60=")</f>
        <v>#REF!</v>
      </c>
      <c r="FS26" t="e">
        <f>AND(Heater!#REF!,"AAAAAA9y+64=")</f>
        <v>#REF!</v>
      </c>
      <c r="FT26" t="e">
        <f>AND(Heater!#REF!,"AAAAAA9y+68=")</f>
        <v>#REF!</v>
      </c>
      <c r="FU26" t="e">
        <f>AND(Heater!#REF!,"AAAAAA9y+7A=")</f>
        <v>#REF!</v>
      </c>
      <c r="FV26" t="e">
        <f>AND(Heater!#REF!,"AAAAAA9y+7E=")</f>
        <v>#REF!</v>
      </c>
      <c r="FW26" t="e">
        <f>AND(Heater!#REF!,"AAAAAA9y+7I=")</f>
        <v>#REF!</v>
      </c>
      <c r="FX26" t="e">
        <f>AND(Heater!#REF!,"AAAAAA9y+7M=")</f>
        <v>#REF!</v>
      </c>
      <c r="FY26" t="e">
        <f>AND(Heater!#REF!,"AAAAAA9y+7Q=")</f>
        <v>#REF!</v>
      </c>
      <c r="FZ26" t="e">
        <f>AND(Heater!#REF!,"AAAAAA9y+7U=")</f>
        <v>#REF!</v>
      </c>
      <c r="GA26" t="e">
        <f>AND(Heater!#REF!,"AAAAAA9y+7Y=")</f>
        <v>#REF!</v>
      </c>
      <c r="GB26" t="e">
        <f>AND(Heater!#REF!,"AAAAAA9y+7c=")</f>
        <v>#REF!</v>
      </c>
      <c r="GC26" t="e">
        <f>AND(Heater!#REF!,"AAAAAA9y+7g=")</f>
        <v>#REF!</v>
      </c>
      <c r="GD26" t="e">
        <f>AND(Heater!#REF!,"AAAAAA9y+7k=")</f>
        <v>#REF!</v>
      </c>
      <c r="GE26" t="e">
        <f>AND(Heater!#REF!,"AAAAAA9y+7o=")</f>
        <v>#REF!</v>
      </c>
      <c r="GF26" t="e">
        <f>IF(Heater!#REF!,"AAAAAA9y+7s=",0)</f>
        <v>#REF!</v>
      </c>
      <c r="GG26" t="e">
        <f>AND(Heater!#REF!,"AAAAAA9y+7w=")</f>
        <v>#REF!</v>
      </c>
      <c r="GH26" t="e">
        <f>AND(Heater!#REF!,"AAAAAA9y+70=")</f>
        <v>#REF!</v>
      </c>
      <c r="GI26" t="e">
        <f>AND(Heater!#REF!,"AAAAAA9y+74=")</f>
        <v>#REF!</v>
      </c>
      <c r="GJ26" t="e">
        <f>AND(Heater!#REF!,"AAAAAA9y+78=")</f>
        <v>#REF!</v>
      </c>
      <c r="GK26" t="e">
        <f>AND(Heater!#REF!,"AAAAAA9y+8A=")</f>
        <v>#REF!</v>
      </c>
      <c r="GL26" t="e">
        <f>AND(Heater!#REF!,"AAAAAA9y+8E=")</f>
        <v>#REF!</v>
      </c>
      <c r="GM26" t="e">
        <f>AND(Heater!#REF!,"AAAAAA9y+8I=")</f>
        <v>#REF!</v>
      </c>
      <c r="GN26" t="e">
        <f>AND(Heater!#REF!,"AAAAAA9y+8M=")</f>
        <v>#REF!</v>
      </c>
      <c r="GO26" t="e">
        <f>AND(Heater!#REF!,"AAAAAA9y+8Q=")</f>
        <v>#REF!</v>
      </c>
      <c r="GP26" t="e">
        <f>AND(Heater!#REF!,"AAAAAA9y+8U=")</f>
        <v>#REF!</v>
      </c>
      <c r="GQ26" t="e">
        <f>AND(Heater!#REF!,"AAAAAA9y+8Y=")</f>
        <v>#REF!</v>
      </c>
      <c r="GR26" t="e">
        <f>AND(Heater!#REF!,"AAAAAA9y+8c=")</f>
        <v>#REF!</v>
      </c>
      <c r="GS26" t="e">
        <f>AND(Heater!#REF!,"AAAAAA9y+8g=")</f>
        <v>#REF!</v>
      </c>
      <c r="GT26" t="e">
        <f>AND(Heater!#REF!,"AAAAAA9y+8k=")</f>
        <v>#REF!</v>
      </c>
      <c r="GU26" t="e">
        <f>AND(Heater!#REF!,"AAAAAA9y+8o=")</f>
        <v>#REF!</v>
      </c>
      <c r="GV26" t="e">
        <f>IF(Heater!#REF!,"AAAAAA9y+8s=",0)</f>
        <v>#REF!</v>
      </c>
      <c r="GW26" t="e">
        <f>AND(Heater!#REF!,"AAAAAA9y+8w=")</f>
        <v>#REF!</v>
      </c>
      <c r="GX26" t="e">
        <f>AND(Heater!#REF!,"AAAAAA9y+80=")</f>
        <v>#REF!</v>
      </c>
      <c r="GY26" t="e">
        <f>AND(Heater!#REF!,"AAAAAA9y+84=")</f>
        <v>#REF!</v>
      </c>
      <c r="GZ26" t="e">
        <f>AND(Heater!#REF!,"AAAAAA9y+88=")</f>
        <v>#REF!</v>
      </c>
      <c r="HA26" t="e">
        <f>AND(Heater!#REF!,"AAAAAA9y+9A=")</f>
        <v>#REF!</v>
      </c>
      <c r="HB26" t="e">
        <f>AND(Heater!#REF!,"AAAAAA9y+9E=")</f>
        <v>#REF!</v>
      </c>
      <c r="HC26" t="e">
        <f>AND(Heater!#REF!,"AAAAAA9y+9I=")</f>
        <v>#REF!</v>
      </c>
      <c r="HD26" t="e">
        <f>AND(Heater!#REF!,"AAAAAA9y+9M=")</f>
        <v>#REF!</v>
      </c>
      <c r="HE26" t="e">
        <f>AND(Heater!#REF!,"AAAAAA9y+9Q=")</f>
        <v>#REF!</v>
      </c>
      <c r="HF26" t="e">
        <f>AND(Heater!#REF!,"AAAAAA9y+9U=")</f>
        <v>#REF!</v>
      </c>
      <c r="HG26" t="e">
        <f>AND(Heater!#REF!,"AAAAAA9y+9Y=")</f>
        <v>#REF!</v>
      </c>
      <c r="HH26" t="e">
        <f>AND(Heater!#REF!,"AAAAAA9y+9c=")</f>
        <v>#REF!</v>
      </c>
      <c r="HI26" t="e">
        <f>AND(Heater!#REF!,"AAAAAA9y+9g=")</f>
        <v>#REF!</v>
      </c>
      <c r="HJ26" t="e">
        <f>AND(Heater!#REF!,"AAAAAA9y+9k=")</f>
        <v>#REF!</v>
      </c>
      <c r="HK26" t="e">
        <f>AND(Heater!#REF!,"AAAAAA9y+9o=")</f>
        <v>#REF!</v>
      </c>
      <c r="HL26" t="e">
        <f>IF(Heater!#REF!,"AAAAAA9y+9s=",0)</f>
        <v>#REF!</v>
      </c>
      <c r="HM26" t="e">
        <f>AND(Heater!#REF!,"AAAAAA9y+9w=")</f>
        <v>#REF!</v>
      </c>
      <c r="HN26" t="e">
        <f>AND(Heater!#REF!,"AAAAAA9y+90=")</f>
        <v>#REF!</v>
      </c>
      <c r="HO26" t="e">
        <f>AND(Heater!#REF!,"AAAAAA9y+94=")</f>
        <v>#REF!</v>
      </c>
      <c r="HP26" t="e">
        <f>AND(Heater!#REF!,"AAAAAA9y+98=")</f>
        <v>#REF!</v>
      </c>
      <c r="HQ26" t="e">
        <f>AND(Heater!#REF!,"AAAAAA9y++A=")</f>
        <v>#REF!</v>
      </c>
      <c r="HR26" t="e">
        <f>AND(Heater!#REF!,"AAAAAA9y++E=")</f>
        <v>#REF!</v>
      </c>
      <c r="HS26" t="e">
        <f>AND(Heater!#REF!,"AAAAAA9y++I=")</f>
        <v>#REF!</v>
      </c>
      <c r="HT26" t="e">
        <f>AND(Heater!#REF!,"AAAAAA9y++M=")</f>
        <v>#REF!</v>
      </c>
      <c r="HU26" t="e">
        <f>AND(Heater!#REF!,"AAAAAA9y++Q=")</f>
        <v>#REF!</v>
      </c>
      <c r="HV26" t="e">
        <f>AND(Heater!#REF!,"AAAAAA9y++U=")</f>
        <v>#REF!</v>
      </c>
      <c r="HW26" t="e">
        <f>AND(Heater!#REF!,"AAAAAA9y++Y=")</f>
        <v>#REF!</v>
      </c>
      <c r="HX26" t="e">
        <f>AND(Heater!#REF!,"AAAAAA9y++c=")</f>
        <v>#REF!</v>
      </c>
      <c r="HY26" t="e">
        <f>AND(Heater!#REF!,"AAAAAA9y++g=")</f>
        <v>#REF!</v>
      </c>
      <c r="HZ26" t="e">
        <f>AND(Heater!#REF!,"AAAAAA9y++k=")</f>
        <v>#REF!</v>
      </c>
      <c r="IA26" t="e">
        <f>AND(Heater!#REF!,"AAAAAA9y++o=")</f>
        <v>#REF!</v>
      </c>
      <c r="IB26" t="e">
        <f>IF(Heater!#REF!,"AAAAAA9y++s=",0)</f>
        <v>#REF!</v>
      </c>
      <c r="IC26" t="e">
        <f>AND(Heater!#REF!,"AAAAAA9y++w=")</f>
        <v>#REF!</v>
      </c>
      <c r="ID26" t="e">
        <f>AND(Heater!#REF!,"AAAAAA9y++0=")</f>
        <v>#REF!</v>
      </c>
      <c r="IE26" t="e">
        <f>AND(Heater!#REF!,"AAAAAA9y++4=")</f>
        <v>#REF!</v>
      </c>
      <c r="IF26" t="e">
        <f>AND(Heater!#REF!,"AAAAAA9y++8=")</f>
        <v>#REF!</v>
      </c>
      <c r="IG26" t="e">
        <f>AND(Heater!#REF!,"AAAAAA9y+/A=")</f>
        <v>#REF!</v>
      </c>
      <c r="IH26" t="e">
        <f>AND(Heater!#REF!,"AAAAAA9y+/E=")</f>
        <v>#REF!</v>
      </c>
      <c r="II26" t="e">
        <f>AND(Heater!#REF!,"AAAAAA9y+/I=")</f>
        <v>#REF!</v>
      </c>
      <c r="IJ26" t="e">
        <f>AND(Heater!#REF!,"AAAAAA9y+/M=")</f>
        <v>#REF!</v>
      </c>
      <c r="IK26" t="e">
        <f>AND(Heater!#REF!,"AAAAAA9y+/Q=")</f>
        <v>#REF!</v>
      </c>
      <c r="IL26" t="e">
        <f>AND(Heater!#REF!,"AAAAAA9y+/U=")</f>
        <v>#REF!</v>
      </c>
      <c r="IM26" t="e">
        <f>AND(Heater!#REF!,"AAAAAA9y+/Y=")</f>
        <v>#REF!</v>
      </c>
      <c r="IN26" t="e">
        <f>AND(Heater!#REF!,"AAAAAA9y+/c=")</f>
        <v>#REF!</v>
      </c>
      <c r="IO26" t="e">
        <f>AND(Heater!#REF!,"AAAAAA9y+/g=")</f>
        <v>#REF!</v>
      </c>
      <c r="IP26" t="e">
        <f>AND(Heater!#REF!,"AAAAAA9y+/k=")</f>
        <v>#REF!</v>
      </c>
      <c r="IQ26" t="e">
        <f>AND(Heater!#REF!,"AAAAAA9y+/o=")</f>
        <v>#REF!</v>
      </c>
      <c r="IR26" t="e">
        <f>IF(Heater!#REF!,"AAAAAA9y+/s=",0)</f>
        <v>#REF!</v>
      </c>
      <c r="IS26" t="e">
        <f>AND(Heater!#REF!,"AAAAAA9y+/w=")</f>
        <v>#REF!</v>
      </c>
      <c r="IT26" t="e">
        <f>AND(Heater!#REF!,"AAAAAA9y+/0=")</f>
        <v>#REF!</v>
      </c>
      <c r="IU26" t="e">
        <f>AND(Heater!#REF!,"AAAAAA9y+/4=")</f>
        <v>#REF!</v>
      </c>
      <c r="IV26" t="e">
        <f>AND(Heater!#REF!,"AAAAAA9y+/8=")</f>
        <v>#REF!</v>
      </c>
    </row>
    <row r="27" spans="1:256">
      <c r="A27" t="e">
        <f>AND(Heater!#REF!,"AAAAAHE53wA=")</f>
        <v>#REF!</v>
      </c>
      <c r="B27" t="e">
        <f>AND(Heater!#REF!,"AAAAAHE53wE=")</f>
        <v>#REF!</v>
      </c>
      <c r="C27" t="e">
        <f>AND(Heater!#REF!,"AAAAAHE53wI=")</f>
        <v>#REF!</v>
      </c>
      <c r="D27" t="e">
        <f>AND(Heater!#REF!,"AAAAAHE53wM=")</f>
        <v>#REF!</v>
      </c>
      <c r="E27" t="e">
        <f>AND(Heater!#REF!,"AAAAAHE53wQ=")</f>
        <v>#REF!</v>
      </c>
      <c r="F27" t="e">
        <f>AND(Heater!#REF!,"AAAAAHE53wU=")</f>
        <v>#REF!</v>
      </c>
      <c r="G27" t="e">
        <f>AND(Heater!#REF!,"AAAAAHE53wY=")</f>
        <v>#REF!</v>
      </c>
      <c r="H27" t="e">
        <f>AND(Heater!#REF!,"AAAAAHE53wc=")</f>
        <v>#REF!</v>
      </c>
      <c r="I27" t="e">
        <f>AND(Heater!#REF!,"AAAAAHE53wg=")</f>
        <v>#REF!</v>
      </c>
      <c r="J27" t="e">
        <f>AND(Heater!#REF!,"AAAAAHE53wk=")</f>
        <v>#REF!</v>
      </c>
      <c r="K27" t="e">
        <f>AND(Heater!#REF!,"AAAAAHE53wo=")</f>
        <v>#REF!</v>
      </c>
      <c r="L27" t="e">
        <f>IF(Heater!#REF!,"AAAAAHE53ws=",0)</f>
        <v>#REF!</v>
      </c>
      <c r="M27" t="e">
        <f>AND(Heater!#REF!,"AAAAAHE53ww=")</f>
        <v>#REF!</v>
      </c>
      <c r="N27" t="e">
        <f>AND(Heater!#REF!,"AAAAAHE53w0=")</f>
        <v>#REF!</v>
      </c>
      <c r="O27" t="e">
        <f>AND(Heater!#REF!,"AAAAAHE53w4=")</f>
        <v>#REF!</v>
      </c>
      <c r="P27" t="e">
        <f>AND(Heater!#REF!,"AAAAAHE53w8=")</f>
        <v>#REF!</v>
      </c>
      <c r="Q27" t="e">
        <f>AND(Heater!#REF!,"AAAAAHE53xA=")</f>
        <v>#REF!</v>
      </c>
      <c r="R27" t="e">
        <f>AND(Heater!#REF!,"AAAAAHE53xE=")</f>
        <v>#REF!</v>
      </c>
      <c r="S27" t="e">
        <f>AND(Heater!#REF!,"AAAAAHE53xI=")</f>
        <v>#REF!</v>
      </c>
      <c r="T27" t="e">
        <f>AND(Heater!#REF!,"AAAAAHE53xM=")</f>
        <v>#REF!</v>
      </c>
      <c r="U27" t="e">
        <f>AND(Heater!#REF!,"AAAAAHE53xQ=")</f>
        <v>#REF!</v>
      </c>
      <c r="V27" t="e">
        <f>AND(Heater!#REF!,"AAAAAHE53xU=")</f>
        <v>#REF!</v>
      </c>
      <c r="W27" t="e">
        <f>AND(Heater!#REF!,"AAAAAHE53xY=")</f>
        <v>#REF!</v>
      </c>
      <c r="X27" t="e">
        <f>AND(Heater!#REF!,"AAAAAHE53xc=")</f>
        <v>#REF!</v>
      </c>
      <c r="Y27" t="e">
        <f>AND(Heater!#REF!,"AAAAAHE53xg=")</f>
        <v>#REF!</v>
      </c>
      <c r="Z27" t="e">
        <f>AND(Heater!#REF!,"AAAAAHE53xk=")</f>
        <v>#REF!</v>
      </c>
      <c r="AA27" t="e">
        <f>AND(Heater!#REF!,"AAAAAHE53xo=")</f>
        <v>#REF!</v>
      </c>
      <c r="AB27" t="e">
        <f>IF(Heater!#REF!,"AAAAAHE53xs=",0)</f>
        <v>#REF!</v>
      </c>
      <c r="AC27" t="e">
        <f>AND(Heater!#REF!,"AAAAAHE53xw=")</f>
        <v>#REF!</v>
      </c>
      <c r="AD27" t="e">
        <f>AND(Heater!#REF!,"AAAAAHE53x0=")</f>
        <v>#REF!</v>
      </c>
      <c r="AE27" t="e">
        <f>AND(Heater!#REF!,"AAAAAHE53x4=")</f>
        <v>#REF!</v>
      </c>
      <c r="AF27" t="e">
        <f>AND(Heater!#REF!,"AAAAAHE53x8=")</f>
        <v>#REF!</v>
      </c>
      <c r="AG27" t="e">
        <f>AND(Heater!#REF!,"AAAAAHE53yA=")</f>
        <v>#REF!</v>
      </c>
      <c r="AH27" t="e">
        <f>AND(Heater!#REF!,"AAAAAHE53yE=")</f>
        <v>#REF!</v>
      </c>
      <c r="AI27" t="e">
        <f>AND(Heater!#REF!,"AAAAAHE53yI=")</f>
        <v>#REF!</v>
      </c>
      <c r="AJ27" t="e">
        <f>AND(Heater!#REF!,"AAAAAHE53yM=")</f>
        <v>#REF!</v>
      </c>
      <c r="AK27" t="e">
        <f>AND(Heater!#REF!,"AAAAAHE53yQ=")</f>
        <v>#REF!</v>
      </c>
      <c r="AL27" t="e">
        <f>AND(Heater!#REF!,"AAAAAHE53yU=")</f>
        <v>#REF!</v>
      </c>
      <c r="AM27" t="e">
        <f>AND(Heater!#REF!,"AAAAAHE53yY=")</f>
        <v>#REF!</v>
      </c>
      <c r="AN27" t="e">
        <f>AND(Heater!#REF!,"AAAAAHE53yc=")</f>
        <v>#REF!</v>
      </c>
      <c r="AO27" t="e">
        <f>AND(Heater!#REF!,"AAAAAHE53yg=")</f>
        <v>#REF!</v>
      </c>
      <c r="AP27" t="e">
        <f>AND(Heater!#REF!,"AAAAAHE53yk=")</f>
        <v>#REF!</v>
      </c>
      <c r="AQ27" t="e">
        <f>AND(Heater!#REF!,"AAAAAHE53yo=")</f>
        <v>#REF!</v>
      </c>
      <c r="AR27" t="e">
        <f>IF(Heater!#REF!,"AAAAAHE53ys=",0)</f>
        <v>#REF!</v>
      </c>
      <c r="AS27" t="e">
        <f>AND(Heater!#REF!,"AAAAAHE53yw=")</f>
        <v>#REF!</v>
      </c>
      <c r="AT27" t="e">
        <f>AND(Heater!#REF!,"AAAAAHE53y0=")</f>
        <v>#REF!</v>
      </c>
      <c r="AU27" t="e">
        <f>AND(Heater!#REF!,"AAAAAHE53y4=")</f>
        <v>#REF!</v>
      </c>
      <c r="AV27" t="e">
        <f>AND(Heater!#REF!,"AAAAAHE53y8=")</f>
        <v>#REF!</v>
      </c>
      <c r="AW27" t="e">
        <f>AND(Heater!#REF!,"AAAAAHE53zA=")</f>
        <v>#REF!</v>
      </c>
      <c r="AX27" t="e">
        <f>AND(Heater!#REF!,"AAAAAHE53zE=")</f>
        <v>#REF!</v>
      </c>
      <c r="AY27" t="e">
        <f>AND(Heater!#REF!,"AAAAAHE53zI=")</f>
        <v>#REF!</v>
      </c>
      <c r="AZ27" t="e">
        <f>AND(Heater!#REF!,"AAAAAHE53zM=")</f>
        <v>#REF!</v>
      </c>
      <c r="BA27" t="e">
        <f>AND(Heater!#REF!,"AAAAAHE53zQ=")</f>
        <v>#REF!</v>
      </c>
      <c r="BB27" t="e">
        <f>AND(Heater!#REF!,"AAAAAHE53zU=")</f>
        <v>#REF!</v>
      </c>
      <c r="BC27" t="e">
        <f>AND(Heater!#REF!,"AAAAAHE53zY=")</f>
        <v>#REF!</v>
      </c>
      <c r="BD27" t="e">
        <f>AND(Heater!#REF!,"AAAAAHE53zc=")</f>
        <v>#REF!</v>
      </c>
      <c r="BE27" t="e">
        <f>AND(Heater!#REF!,"AAAAAHE53zg=")</f>
        <v>#REF!</v>
      </c>
      <c r="BF27" t="e">
        <f>AND(Heater!#REF!,"AAAAAHE53zk=")</f>
        <v>#REF!</v>
      </c>
      <c r="BG27" t="e">
        <f>AND(Heater!#REF!,"AAAAAHE53zo=")</f>
        <v>#REF!</v>
      </c>
      <c r="BH27" t="e">
        <f>IF(Heater!#REF!,"AAAAAHE53zs=",0)</f>
        <v>#REF!</v>
      </c>
      <c r="BI27" t="e">
        <f>AND(Heater!#REF!,"AAAAAHE53zw=")</f>
        <v>#REF!</v>
      </c>
      <c r="BJ27" t="e">
        <f>AND(Heater!#REF!,"AAAAAHE53z0=")</f>
        <v>#REF!</v>
      </c>
      <c r="BK27" t="e">
        <f>AND(Heater!#REF!,"AAAAAHE53z4=")</f>
        <v>#REF!</v>
      </c>
      <c r="BL27" t="e">
        <f>AND(Heater!#REF!,"AAAAAHE53z8=")</f>
        <v>#REF!</v>
      </c>
      <c r="BM27" t="e">
        <f>AND(Heater!#REF!,"AAAAAHE530A=")</f>
        <v>#REF!</v>
      </c>
      <c r="BN27" t="e">
        <f>AND(Heater!#REF!,"AAAAAHE530E=")</f>
        <v>#REF!</v>
      </c>
      <c r="BO27" t="e">
        <f>AND(Heater!#REF!,"AAAAAHE530I=")</f>
        <v>#REF!</v>
      </c>
      <c r="BP27" t="e">
        <f>AND(Heater!#REF!,"AAAAAHE530M=")</f>
        <v>#REF!</v>
      </c>
      <c r="BQ27" t="e">
        <f>AND(Heater!#REF!,"AAAAAHE530Q=")</f>
        <v>#REF!</v>
      </c>
      <c r="BR27" t="e">
        <f>AND(Heater!#REF!,"AAAAAHE530U=")</f>
        <v>#REF!</v>
      </c>
      <c r="BS27" t="e">
        <f>AND(Heater!#REF!,"AAAAAHE530Y=")</f>
        <v>#REF!</v>
      </c>
      <c r="BT27" t="e">
        <f>AND(Heater!#REF!,"AAAAAHE530c=")</f>
        <v>#REF!</v>
      </c>
      <c r="BU27" t="e">
        <f>AND(Heater!#REF!,"AAAAAHE530g=")</f>
        <v>#REF!</v>
      </c>
      <c r="BV27" t="e">
        <f>AND(Heater!#REF!,"AAAAAHE530k=")</f>
        <v>#REF!</v>
      </c>
      <c r="BW27" t="e">
        <f>AND(Heater!#REF!,"AAAAAHE530o=")</f>
        <v>#REF!</v>
      </c>
      <c r="BX27" t="e">
        <f>IF(Heater!#REF!,"AAAAAHE530s=",0)</f>
        <v>#REF!</v>
      </c>
      <c r="BY27" t="e">
        <f>AND(Heater!#REF!,"AAAAAHE530w=")</f>
        <v>#REF!</v>
      </c>
      <c r="BZ27" t="e">
        <f>AND(Heater!#REF!,"AAAAAHE5300=")</f>
        <v>#REF!</v>
      </c>
      <c r="CA27" t="e">
        <f>AND(Heater!#REF!,"AAAAAHE5304=")</f>
        <v>#REF!</v>
      </c>
      <c r="CB27" t="e">
        <f>AND(Heater!#REF!,"AAAAAHE5308=")</f>
        <v>#REF!</v>
      </c>
      <c r="CC27" t="e">
        <f>AND(Heater!#REF!,"AAAAAHE531A=")</f>
        <v>#REF!</v>
      </c>
      <c r="CD27" t="e">
        <f>AND(Heater!#REF!,"AAAAAHE531E=")</f>
        <v>#REF!</v>
      </c>
      <c r="CE27" t="e">
        <f>AND(Heater!#REF!,"AAAAAHE531I=")</f>
        <v>#REF!</v>
      </c>
      <c r="CF27" t="e">
        <f>AND(Heater!#REF!,"AAAAAHE531M=")</f>
        <v>#REF!</v>
      </c>
      <c r="CG27" t="e">
        <f>AND(Heater!#REF!,"AAAAAHE531Q=")</f>
        <v>#REF!</v>
      </c>
      <c r="CH27" t="e">
        <f>AND(Heater!#REF!,"AAAAAHE531U=")</f>
        <v>#REF!</v>
      </c>
      <c r="CI27" t="e">
        <f>AND(Heater!#REF!,"AAAAAHE531Y=")</f>
        <v>#REF!</v>
      </c>
      <c r="CJ27" t="e">
        <f>AND(Heater!#REF!,"AAAAAHE531c=")</f>
        <v>#REF!</v>
      </c>
      <c r="CK27" t="e">
        <f>AND(Heater!#REF!,"AAAAAHE531g=")</f>
        <v>#REF!</v>
      </c>
      <c r="CL27" t="e">
        <f>AND(Heater!#REF!,"AAAAAHE531k=")</f>
        <v>#REF!</v>
      </c>
      <c r="CM27" t="e">
        <f>AND(Heater!#REF!,"AAAAAHE531o=")</f>
        <v>#REF!</v>
      </c>
      <c r="CN27" t="e">
        <f>IF(Heater!#REF!,"AAAAAHE531s=",0)</f>
        <v>#REF!</v>
      </c>
      <c r="CO27" t="e">
        <f>AND(Heater!#REF!,"AAAAAHE531w=")</f>
        <v>#REF!</v>
      </c>
      <c r="CP27" t="e">
        <f>AND(Heater!#REF!,"AAAAAHE5310=")</f>
        <v>#REF!</v>
      </c>
      <c r="CQ27" t="e">
        <f>AND(Heater!#REF!,"AAAAAHE5314=")</f>
        <v>#REF!</v>
      </c>
      <c r="CR27" t="e">
        <f>AND(Heater!#REF!,"AAAAAHE5318=")</f>
        <v>#REF!</v>
      </c>
      <c r="CS27" t="e">
        <f>AND(Heater!#REF!,"AAAAAHE532A=")</f>
        <v>#REF!</v>
      </c>
      <c r="CT27" t="e">
        <f>AND(Heater!#REF!,"AAAAAHE532E=")</f>
        <v>#REF!</v>
      </c>
      <c r="CU27" t="e">
        <f>AND(Heater!#REF!,"AAAAAHE532I=")</f>
        <v>#REF!</v>
      </c>
      <c r="CV27" t="e">
        <f>AND(Heater!#REF!,"AAAAAHE532M=")</f>
        <v>#REF!</v>
      </c>
      <c r="CW27" t="e">
        <f>AND(Heater!#REF!,"AAAAAHE532Q=")</f>
        <v>#REF!</v>
      </c>
      <c r="CX27" t="e">
        <f>AND(Heater!#REF!,"AAAAAHE532U=")</f>
        <v>#REF!</v>
      </c>
      <c r="CY27" t="e">
        <f>AND(Heater!#REF!,"AAAAAHE532Y=")</f>
        <v>#REF!</v>
      </c>
      <c r="CZ27" t="e">
        <f>AND(Heater!#REF!,"AAAAAHE532c=")</f>
        <v>#REF!</v>
      </c>
      <c r="DA27" t="e">
        <f>AND(Heater!#REF!,"AAAAAHE532g=")</f>
        <v>#REF!</v>
      </c>
      <c r="DB27" t="e">
        <f>AND(Heater!#REF!,"AAAAAHE532k=")</f>
        <v>#REF!</v>
      </c>
      <c r="DC27" t="e">
        <f>AND(Heater!#REF!,"AAAAAHE532o=")</f>
        <v>#REF!</v>
      </c>
      <c r="DD27" t="e">
        <f>IF(Heater!#REF!,"AAAAAHE532s=",0)</f>
        <v>#REF!</v>
      </c>
      <c r="DE27" t="e">
        <f>AND(Heater!#REF!,"AAAAAHE532w=")</f>
        <v>#REF!</v>
      </c>
      <c r="DF27" t="e">
        <f>AND(Heater!#REF!,"AAAAAHE5320=")</f>
        <v>#REF!</v>
      </c>
      <c r="DG27" t="e">
        <f>AND(Heater!#REF!,"AAAAAHE5324=")</f>
        <v>#REF!</v>
      </c>
      <c r="DH27" t="e">
        <f>AND(Heater!#REF!,"AAAAAHE5328=")</f>
        <v>#REF!</v>
      </c>
      <c r="DI27" t="e">
        <f>AND(Heater!#REF!,"AAAAAHE533A=")</f>
        <v>#REF!</v>
      </c>
      <c r="DJ27" t="e">
        <f>AND(Heater!#REF!,"AAAAAHE533E=")</f>
        <v>#REF!</v>
      </c>
      <c r="DK27" t="e">
        <f>AND(Heater!#REF!,"AAAAAHE533I=")</f>
        <v>#REF!</v>
      </c>
      <c r="DL27" t="e">
        <f>AND(Heater!#REF!,"AAAAAHE533M=")</f>
        <v>#REF!</v>
      </c>
      <c r="DM27" t="e">
        <f>AND(Heater!#REF!,"AAAAAHE533Q=")</f>
        <v>#REF!</v>
      </c>
      <c r="DN27" t="e">
        <f>AND(Heater!#REF!,"AAAAAHE533U=")</f>
        <v>#REF!</v>
      </c>
      <c r="DO27" t="e">
        <f>AND(Heater!#REF!,"AAAAAHE533Y=")</f>
        <v>#REF!</v>
      </c>
      <c r="DP27" t="e">
        <f>AND(Heater!#REF!,"AAAAAHE533c=")</f>
        <v>#REF!</v>
      </c>
      <c r="DQ27" t="e">
        <f>AND(Heater!#REF!,"AAAAAHE533g=")</f>
        <v>#REF!</v>
      </c>
      <c r="DR27" t="e">
        <f>AND(Heater!#REF!,"AAAAAHE533k=")</f>
        <v>#REF!</v>
      </c>
      <c r="DS27" t="e">
        <f>AND(Heater!#REF!,"AAAAAHE533o=")</f>
        <v>#REF!</v>
      </c>
      <c r="DT27" t="e">
        <f>IF(Heater!#REF!,"AAAAAHE533s=",0)</f>
        <v>#REF!</v>
      </c>
      <c r="DU27" t="e">
        <f>AND(Heater!#REF!,"AAAAAHE533w=")</f>
        <v>#REF!</v>
      </c>
      <c r="DV27" t="e">
        <f>AND(Heater!#REF!,"AAAAAHE5330=")</f>
        <v>#REF!</v>
      </c>
      <c r="DW27" t="e">
        <f>AND(Heater!#REF!,"AAAAAHE5334=")</f>
        <v>#REF!</v>
      </c>
      <c r="DX27" t="e">
        <f>AND(Heater!#REF!,"AAAAAHE5338=")</f>
        <v>#REF!</v>
      </c>
      <c r="DY27" t="e">
        <f>AND(Heater!#REF!,"AAAAAHE534A=")</f>
        <v>#REF!</v>
      </c>
      <c r="DZ27" t="e">
        <f>AND(Heater!#REF!,"AAAAAHE534E=")</f>
        <v>#REF!</v>
      </c>
      <c r="EA27" t="e">
        <f>AND(Heater!#REF!,"AAAAAHE534I=")</f>
        <v>#REF!</v>
      </c>
      <c r="EB27" t="e">
        <f>AND(Heater!#REF!,"AAAAAHE534M=")</f>
        <v>#REF!</v>
      </c>
      <c r="EC27" t="e">
        <f>AND(Heater!#REF!,"AAAAAHE534Q=")</f>
        <v>#REF!</v>
      </c>
      <c r="ED27" t="e">
        <f>AND(Heater!#REF!,"AAAAAHE534U=")</f>
        <v>#REF!</v>
      </c>
      <c r="EE27" t="e">
        <f>AND(Heater!#REF!,"AAAAAHE534Y=")</f>
        <v>#REF!</v>
      </c>
      <c r="EF27" t="e">
        <f>AND(Heater!#REF!,"AAAAAHE534c=")</f>
        <v>#REF!</v>
      </c>
      <c r="EG27" t="e">
        <f>AND(Heater!#REF!,"AAAAAHE534g=")</f>
        <v>#REF!</v>
      </c>
      <c r="EH27" t="e">
        <f>AND(Heater!#REF!,"AAAAAHE534k=")</f>
        <v>#REF!</v>
      </c>
      <c r="EI27" t="e">
        <f>AND(Heater!#REF!,"AAAAAHE534o=")</f>
        <v>#REF!</v>
      </c>
      <c r="EJ27" t="e">
        <f>IF(Heater!#REF!,"AAAAAHE534s=",0)</f>
        <v>#REF!</v>
      </c>
      <c r="EK27" t="e">
        <f>AND(Heater!#REF!,"AAAAAHE534w=")</f>
        <v>#REF!</v>
      </c>
      <c r="EL27" t="e">
        <f>AND(Heater!#REF!,"AAAAAHE5340=")</f>
        <v>#REF!</v>
      </c>
      <c r="EM27" t="e">
        <f>AND(Heater!#REF!,"AAAAAHE5344=")</f>
        <v>#REF!</v>
      </c>
      <c r="EN27" t="e">
        <f>AND(Heater!#REF!,"AAAAAHE5348=")</f>
        <v>#REF!</v>
      </c>
      <c r="EO27" t="e">
        <f>AND(Heater!#REF!,"AAAAAHE535A=")</f>
        <v>#REF!</v>
      </c>
      <c r="EP27" t="e">
        <f>AND(Heater!#REF!,"AAAAAHE535E=")</f>
        <v>#REF!</v>
      </c>
      <c r="EQ27" t="e">
        <f>AND(Heater!#REF!,"AAAAAHE535I=")</f>
        <v>#REF!</v>
      </c>
      <c r="ER27" t="e">
        <f>AND(Heater!#REF!,"AAAAAHE535M=")</f>
        <v>#REF!</v>
      </c>
      <c r="ES27" t="e">
        <f>AND(Heater!#REF!,"AAAAAHE535Q=")</f>
        <v>#REF!</v>
      </c>
      <c r="ET27" t="e">
        <f>AND(Heater!#REF!,"AAAAAHE535U=")</f>
        <v>#REF!</v>
      </c>
      <c r="EU27" t="e">
        <f>AND(Heater!#REF!,"AAAAAHE535Y=")</f>
        <v>#REF!</v>
      </c>
      <c r="EV27" t="e">
        <f>AND(Heater!#REF!,"AAAAAHE535c=")</f>
        <v>#REF!</v>
      </c>
      <c r="EW27" t="e">
        <f>AND(Heater!#REF!,"AAAAAHE535g=")</f>
        <v>#REF!</v>
      </c>
      <c r="EX27" t="e">
        <f>AND(Heater!#REF!,"AAAAAHE535k=")</f>
        <v>#REF!</v>
      </c>
      <c r="EY27" t="e">
        <f>AND(Heater!#REF!,"AAAAAHE535o=")</f>
        <v>#REF!</v>
      </c>
      <c r="EZ27" t="e">
        <f>IF(Heater!#REF!,"AAAAAHE535s=",0)</f>
        <v>#REF!</v>
      </c>
      <c r="FA27" t="e">
        <f>AND(Heater!#REF!,"AAAAAHE535w=")</f>
        <v>#REF!</v>
      </c>
      <c r="FB27" t="e">
        <f>AND(Heater!#REF!,"AAAAAHE5350=")</f>
        <v>#REF!</v>
      </c>
      <c r="FC27" t="e">
        <f>AND(Heater!#REF!,"AAAAAHE5354=")</f>
        <v>#REF!</v>
      </c>
      <c r="FD27" t="e">
        <f>AND(Heater!#REF!,"AAAAAHE5358=")</f>
        <v>#REF!</v>
      </c>
      <c r="FE27" t="e">
        <f>AND(Heater!#REF!,"AAAAAHE536A=")</f>
        <v>#REF!</v>
      </c>
      <c r="FF27" t="e">
        <f>AND(Heater!#REF!,"AAAAAHE536E=")</f>
        <v>#REF!</v>
      </c>
      <c r="FG27" t="e">
        <f>AND(Heater!#REF!,"AAAAAHE536I=")</f>
        <v>#REF!</v>
      </c>
      <c r="FH27" t="e">
        <f>AND(Heater!#REF!,"AAAAAHE536M=")</f>
        <v>#REF!</v>
      </c>
      <c r="FI27" t="e">
        <f>AND(Heater!#REF!,"AAAAAHE536Q=")</f>
        <v>#REF!</v>
      </c>
      <c r="FJ27" t="e">
        <f>AND(Heater!#REF!,"AAAAAHE536U=")</f>
        <v>#REF!</v>
      </c>
      <c r="FK27" t="e">
        <f>AND(Heater!#REF!,"AAAAAHE536Y=")</f>
        <v>#REF!</v>
      </c>
      <c r="FL27" t="e">
        <f>AND(Heater!#REF!,"AAAAAHE536c=")</f>
        <v>#REF!</v>
      </c>
      <c r="FM27" t="e">
        <f>AND(Heater!#REF!,"AAAAAHE536g=")</f>
        <v>#REF!</v>
      </c>
      <c r="FN27" t="e">
        <f>AND(Heater!#REF!,"AAAAAHE536k=")</f>
        <v>#REF!</v>
      </c>
      <c r="FO27" t="e">
        <f>AND(Heater!#REF!,"AAAAAHE536o=")</f>
        <v>#REF!</v>
      </c>
      <c r="FP27" t="e">
        <f>IF(Heater!#REF!,"AAAAAHE536s=",0)</f>
        <v>#REF!</v>
      </c>
      <c r="FQ27" t="e">
        <f>AND(Heater!#REF!,"AAAAAHE536w=")</f>
        <v>#REF!</v>
      </c>
      <c r="FR27" t="e">
        <f>AND(Heater!#REF!,"AAAAAHE5360=")</f>
        <v>#REF!</v>
      </c>
      <c r="FS27" t="e">
        <f>AND(Heater!#REF!,"AAAAAHE5364=")</f>
        <v>#REF!</v>
      </c>
      <c r="FT27" t="e">
        <f>AND(Heater!#REF!,"AAAAAHE5368=")</f>
        <v>#REF!</v>
      </c>
      <c r="FU27" t="e">
        <f>AND(Heater!#REF!,"AAAAAHE537A=")</f>
        <v>#REF!</v>
      </c>
      <c r="FV27" t="e">
        <f>AND(Heater!#REF!,"AAAAAHE537E=")</f>
        <v>#REF!</v>
      </c>
      <c r="FW27" t="e">
        <f>AND(Heater!#REF!,"AAAAAHE537I=")</f>
        <v>#REF!</v>
      </c>
      <c r="FX27" t="e">
        <f>AND(Heater!#REF!,"AAAAAHE537M=")</f>
        <v>#REF!</v>
      </c>
      <c r="FY27" t="e">
        <f>AND(Heater!#REF!,"AAAAAHE537Q=")</f>
        <v>#REF!</v>
      </c>
      <c r="FZ27" t="e">
        <f>AND(Heater!#REF!,"AAAAAHE537U=")</f>
        <v>#REF!</v>
      </c>
      <c r="GA27" t="e">
        <f>AND(Heater!#REF!,"AAAAAHE537Y=")</f>
        <v>#REF!</v>
      </c>
      <c r="GB27" t="e">
        <f>AND(Heater!#REF!,"AAAAAHE537c=")</f>
        <v>#REF!</v>
      </c>
      <c r="GC27" t="e">
        <f>AND(Heater!#REF!,"AAAAAHE537g=")</f>
        <v>#REF!</v>
      </c>
      <c r="GD27" t="e">
        <f>AND(Heater!#REF!,"AAAAAHE537k=")</f>
        <v>#REF!</v>
      </c>
      <c r="GE27" t="e">
        <f>AND(Heater!#REF!,"AAAAAHE537o=")</f>
        <v>#REF!</v>
      </c>
      <c r="GF27" t="e">
        <f>IF(Heater!#REF!,"AAAAAHE537s=",0)</f>
        <v>#REF!</v>
      </c>
      <c r="GG27" t="e">
        <f>AND(Heater!#REF!,"AAAAAHE537w=")</f>
        <v>#REF!</v>
      </c>
      <c r="GH27" t="e">
        <f>AND(Heater!#REF!,"AAAAAHE5370=")</f>
        <v>#REF!</v>
      </c>
      <c r="GI27" t="e">
        <f>AND(Heater!#REF!,"AAAAAHE5374=")</f>
        <v>#REF!</v>
      </c>
      <c r="GJ27" t="e">
        <f>AND(Heater!#REF!,"AAAAAHE5378=")</f>
        <v>#REF!</v>
      </c>
      <c r="GK27" t="e">
        <f>AND(Heater!#REF!,"AAAAAHE538A=")</f>
        <v>#REF!</v>
      </c>
      <c r="GL27" t="e">
        <f>AND(Heater!#REF!,"AAAAAHE538E=")</f>
        <v>#REF!</v>
      </c>
      <c r="GM27" t="e">
        <f>AND(Heater!#REF!,"AAAAAHE538I=")</f>
        <v>#REF!</v>
      </c>
      <c r="GN27" t="e">
        <f>AND(Heater!#REF!,"AAAAAHE538M=")</f>
        <v>#REF!</v>
      </c>
      <c r="GO27" t="e">
        <f>AND(Heater!#REF!,"AAAAAHE538Q=")</f>
        <v>#REF!</v>
      </c>
      <c r="GP27" t="e">
        <f>AND(Heater!#REF!,"AAAAAHE538U=")</f>
        <v>#REF!</v>
      </c>
      <c r="GQ27" t="e">
        <f>AND(Heater!#REF!,"AAAAAHE538Y=")</f>
        <v>#REF!</v>
      </c>
      <c r="GR27" t="e">
        <f>AND(Heater!#REF!,"AAAAAHE538c=")</f>
        <v>#REF!</v>
      </c>
      <c r="GS27" t="e">
        <f>AND(Heater!#REF!,"AAAAAHE538g=")</f>
        <v>#REF!</v>
      </c>
      <c r="GT27" t="e">
        <f>AND(Heater!#REF!,"AAAAAHE538k=")</f>
        <v>#REF!</v>
      </c>
      <c r="GU27" t="e">
        <f>AND(Heater!#REF!,"AAAAAHE538o=")</f>
        <v>#REF!</v>
      </c>
      <c r="GV27" t="e">
        <f>IF(Heater!#REF!,"AAAAAHE538s=",0)</f>
        <v>#REF!</v>
      </c>
      <c r="GW27" t="e">
        <f>AND(Heater!#REF!,"AAAAAHE538w=")</f>
        <v>#REF!</v>
      </c>
      <c r="GX27" t="e">
        <f>AND(Heater!#REF!,"AAAAAHE5380=")</f>
        <v>#REF!</v>
      </c>
      <c r="GY27" t="e">
        <f>AND(Heater!#REF!,"AAAAAHE5384=")</f>
        <v>#REF!</v>
      </c>
      <c r="GZ27" t="e">
        <f>AND(Heater!#REF!,"AAAAAHE5388=")</f>
        <v>#REF!</v>
      </c>
      <c r="HA27" t="e">
        <f>AND(Heater!#REF!,"AAAAAHE539A=")</f>
        <v>#REF!</v>
      </c>
      <c r="HB27" t="e">
        <f>AND(Heater!#REF!,"AAAAAHE539E=")</f>
        <v>#REF!</v>
      </c>
      <c r="HC27" t="e">
        <f>AND(Heater!#REF!,"AAAAAHE539I=")</f>
        <v>#REF!</v>
      </c>
      <c r="HD27" t="e">
        <f>AND(Heater!#REF!,"AAAAAHE539M=")</f>
        <v>#REF!</v>
      </c>
      <c r="HE27" t="e">
        <f>AND(Heater!#REF!,"AAAAAHE539Q=")</f>
        <v>#REF!</v>
      </c>
      <c r="HF27" t="e">
        <f>AND(Heater!#REF!,"AAAAAHE539U=")</f>
        <v>#REF!</v>
      </c>
      <c r="HG27" t="e">
        <f>AND(Heater!#REF!,"AAAAAHE539Y=")</f>
        <v>#REF!</v>
      </c>
      <c r="HH27" t="e">
        <f>AND(Heater!#REF!,"AAAAAHE539c=")</f>
        <v>#REF!</v>
      </c>
      <c r="HI27" t="e">
        <f>AND(Heater!#REF!,"AAAAAHE539g=")</f>
        <v>#REF!</v>
      </c>
      <c r="HJ27" t="e">
        <f>AND(Heater!#REF!,"AAAAAHE539k=")</f>
        <v>#REF!</v>
      </c>
      <c r="HK27" t="e">
        <f>AND(Heater!#REF!,"AAAAAHE539o=")</f>
        <v>#REF!</v>
      </c>
      <c r="HL27" t="e">
        <f>IF(Heater!#REF!,"AAAAAHE539s=",0)</f>
        <v>#REF!</v>
      </c>
      <c r="HM27" t="e">
        <f>AND(Heater!#REF!,"AAAAAHE539w=")</f>
        <v>#REF!</v>
      </c>
      <c r="HN27" t="e">
        <f>AND(Heater!#REF!,"AAAAAHE5390=")</f>
        <v>#REF!</v>
      </c>
      <c r="HO27" t="e">
        <f>AND(Heater!#REF!,"AAAAAHE5394=")</f>
        <v>#REF!</v>
      </c>
      <c r="HP27" t="e">
        <f>AND(Heater!#REF!,"AAAAAHE5398=")</f>
        <v>#REF!</v>
      </c>
      <c r="HQ27" t="e">
        <f>AND(Heater!#REF!,"AAAAAHE53+A=")</f>
        <v>#REF!</v>
      </c>
      <c r="HR27" t="e">
        <f>AND(Heater!#REF!,"AAAAAHE53+E=")</f>
        <v>#REF!</v>
      </c>
      <c r="HS27" t="e">
        <f>AND(Heater!#REF!,"AAAAAHE53+I=")</f>
        <v>#REF!</v>
      </c>
      <c r="HT27" t="e">
        <f>AND(Heater!#REF!,"AAAAAHE53+M=")</f>
        <v>#REF!</v>
      </c>
      <c r="HU27" t="e">
        <f>AND(Heater!#REF!,"AAAAAHE53+Q=")</f>
        <v>#REF!</v>
      </c>
      <c r="HV27" t="e">
        <f>AND(Heater!#REF!,"AAAAAHE53+U=")</f>
        <v>#REF!</v>
      </c>
      <c r="HW27" t="e">
        <f>AND(Heater!#REF!,"AAAAAHE53+Y=")</f>
        <v>#REF!</v>
      </c>
      <c r="HX27" t="e">
        <f>AND(Heater!#REF!,"AAAAAHE53+c=")</f>
        <v>#REF!</v>
      </c>
      <c r="HY27" t="e">
        <f>AND(Heater!#REF!,"AAAAAHE53+g=")</f>
        <v>#REF!</v>
      </c>
      <c r="HZ27" t="e">
        <f>AND(Heater!#REF!,"AAAAAHE53+k=")</f>
        <v>#REF!</v>
      </c>
      <c r="IA27" t="e">
        <f>AND(Heater!#REF!,"AAAAAHE53+o=")</f>
        <v>#REF!</v>
      </c>
      <c r="IB27" t="e">
        <f>IF(Heater!#REF!,"AAAAAHE53+s=",0)</f>
        <v>#REF!</v>
      </c>
      <c r="IC27" t="e">
        <f>AND(Heater!#REF!,"AAAAAHE53+w=")</f>
        <v>#REF!</v>
      </c>
      <c r="ID27" t="e">
        <f>AND(Heater!#REF!,"AAAAAHE53+0=")</f>
        <v>#REF!</v>
      </c>
      <c r="IE27" t="e">
        <f>AND(Heater!#REF!,"AAAAAHE53+4=")</f>
        <v>#REF!</v>
      </c>
      <c r="IF27" t="e">
        <f>AND(Heater!#REF!,"AAAAAHE53+8=")</f>
        <v>#REF!</v>
      </c>
      <c r="IG27" t="e">
        <f>AND(Heater!#REF!,"AAAAAHE53/A=")</f>
        <v>#REF!</v>
      </c>
      <c r="IH27" t="e">
        <f>AND(Heater!#REF!,"AAAAAHE53/E=")</f>
        <v>#REF!</v>
      </c>
      <c r="II27" t="e">
        <f>AND(Heater!#REF!,"AAAAAHE53/I=")</f>
        <v>#REF!</v>
      </c>
      <c r="IJ27" t="e">
        <f>AND(Heater!#REF!,"AAAAAHE53/M=")</f>
        <v>#REF!</v>
      </c>
      <c r="IK27" t="e">
        <f>AND(Heater!#REF!,"AAAAAHE53/Q=")</f>
        <v>#REF!</v>
      </c>
      <c r="IL27" t="e">
        <f>AND(Heater!#REF!,"AAAAAHE53/U=")</f>
        <v>#REF!</v>
      </c>
      <c r="IM27" t="e">
        <f>AND(Heater!#REF!,"AAAAAHE53/Y=")</f>
        <v>#REF!</v>
      </c>
      <c r="IN27" t="e">
        <f>AND(Heater!#REF!,"AAAAAHE53/c=")</f>
        <v>#REF!</v>
      </c>
      <c r="IO27" t="e">
        <f>AND(Heater!#REF!,"AAAAAHE53/g=")</f>
        <v>#REF!</v>
      </c>
      <c r="IP27" t="e">
        <f>AND(Heater!#REF!,"AAAAAHE53/k=")</f>
        <v>#REF!</v>
      </c>
      <c r="IQ27" t="e">
        <f>AND(Heater!#REF!,"AAAAAHE53/o=")</f>
        <v>#REF!</v>
      </c>
      <c r="IR27" t="e">
        <f>IF(Heater!#REF!,"AAAAAHE53/s=",0)</f>
        <v>#REF!</v>
      </c>
      <c r="IS27" t="e">
        <f>AND(Heater!#REF!,"AAAAAHE53/w=")</f>
        <v>#REF!</v>
      </c>
      <c r="IT27" t="e">
        <f>AND(Heater!#REF!,"AAAAAHE53/0=")</f>
        <v>#REF!</v>
      </c>
      <c r="IU27" t="e">
        <f>AND(Heater!#REF!,"AAAAAHE53/4=")</f>
        <v>#REF!</v>
      </c>
      <c r="IV27" t="e">
        <f>AND(Heater!#REF!,"AAAAAHE53/8=")</f>
        <v>#REF!</v>
      </c>
    </row>
    <row r="28" spans="1:256">
      <c r="A28" t="e">
        <f>AND(Heater!#REF!,"AAAAAH7j7wA=")</f>
        <v>#REF!</v>
      </c>
      <c r="B28" t="e">
        <f>AND(Heater!#REF!,"AAAAAH7j7wE=")</f>
        <v>#REF!</v>
      </c>
      <c r="C28" t="e">
        <f>AND(Heater!#REF!,"AAAAAH7j7wI=")</f>
        <v>#REF!</v>
      </c>
      <c r="D28" t="e">
        <f>AND(Heater!#REF!,"AAAAAH7j7wM=")</f>
        <v>#REF!</v>
      </c>
      <c r="E28" t="e">
        <f>AND(Heater!#REF!,"AAAAAH7j7wQ=")</f>
        <v>#REF!</v>
      </c>
      <c r="F28" t="e">
        <f>AND(Heater!#REF!,"AAAAAH7j7wU=")</f>
        <v>#REF!</v>
      </c>
      <c r="G28" t="e">
        <f>AND(Heater!#REF!,"AAAAAH7j7wY=")</f>
        <v>#REF!</v>
      </c>
      <c r="H28" t="e">
        <f>AND(Heater!#REF!,"AAAAAH7j7wc=")</f>
        <v>#REF!</v>
      </c>
      <c r="I28" t="e">
        <f>AND(Heater!#REF!,"AAAAAH7j7wg=")</f>
        <v>#REF!</v>
      </c>
      <c r="J28" t="e">
        <f>AND(Heater!#REF!,"AAAAAH7j7wk=")</f>
        <v>#REF!</v>
      </c>
      <c r="K28" t="e">
        <f>AND(Heater!#REF!,"AAAAAH7j7wo=")</f>
        <v>#REF!</v>
      </c>
      <c r="L28" t="e">
        <f>IF(Heater!#REF!,"AAAAAH7j7ws=",0)</f>
        <v>#REF!</v>
      </c>
      <c r="M28" t="e">
        <f>AND(Heater!#REF!,"AAAAAH7j7ww=")</f>
        <v>#REF!</v>
      </c>
      <c r="N28" t="e">
        <f>AND(Heater!#REF!,"AAAAAH7j7w0=")</f>
        <v>#REF!</v>
      </c>
      <c r="O28" t="e">
        <f>AND(Heater!#REF!,"AAAAAH7j7w4=")</f>
        <v>#REF!</v>
      </c>
      <c r="P28" t="e">
        <f>AND(Heater!#REF!,"AAAAAH7j7w8=")</f>
        <v>#REF!</v>
      </c>
      <c r="Q28" t="e">
        <f>AND(Heater!#REF!,"AAAAAH7j7xA=")</f>
        <v>#REF!</v>
      </c>
      <c r="R28" t="e">
        <f>AND(Heater!#REF!,"AAAAAH7j7xE=")</f>
        <v>#REF!</v>
      </c>
      <c r="S28" t="e">
        <f>AND(Heater!#REF!,"AAAAAH7j7xI=")</f>
        <v>#REF!</v>
      </c>
      <c r="T28" t="e">
        <f>AND(Heater!#REF!,"AAAAAH7j7xM=")</f>
        <v>#REF!</v>
      </c>
      <c r="U28" t="e">
        <f>AND(Heater!#REF!,"AAAAAH7j7xQ=")</f>
        <v>#REF!</v>
      </c>
      <c r="V28" t="e">
        <f>AND(Heater!#REF!,"AAAAAH7j7xU=")</f>
        <v>#REF!</v>
      </c>
      <c r="W28" t="e">
        <f>AND(Heater!#REF!,"AAAAAH7j7xY=")</f>
        <v>#REF!</v>
      </c>
      <c r="X28" t="e">
        <f>AND(Heater!#REF!,"AAAAAH7j7xc=")</f>
        <v>#REF!</v>
      </c>
      <c r="Y28" t="e">
        <f>AND(Heater!#REF!,"AAAAAH7j7xg=")</f>
        <v>#REF!</v>
      </c>
      <c r="Z28" t="e">
        <f>AND(Heater!#REF!,"AAAAAH7j7xk=")</f>
        <v>#REF!</v>
      </c>
      <c r="AA28" t="e">
        <f>AND(Heater!#REF!,"AAAAAH7j7xo=")</f>
        <v>#REF!</v>
      </c>
      <c r="AB28" t="e">
        <f>IF(Heater!#REF!,"AAAAAH7j7xs=",0)</f>
        <v>#REF!</v>
      </c>
      <c r="AC28" t="e">
        <f>AND(Heater!#REF!,"AAAAAH7j7xw=")</f>
        <v>#REF!</v>
      </c>
      <c r="AD28" t="e">
        <f>AND(Heater!#REF!,"AAAAAH7j7x0=")</f>
        <v>#REF!</v>
      </c>
      <c r="AE28" t="e">
        <f>AND(Heater!#REF!,"AAAAAH7j7x4=")</f>
        <v>#REF!</v>
      </c>
      <c r="AF28" t="e">
        <f>AND(Heater!#REF!,"AAAAAH7j7x8=")</f>
        <v>#REF!</v>
      </c>
      <c r="AG28" t="e">
        <f>AND(Heater!#REF!,"AAAAAH7j7yA=")</f>
        <v>#REF!</v>
      </c>
      <c r="AH28" t="e">
        <f>AND(Heater!#REF!,"AAAAAH7j7yE=")</f>
        <v>#REF!</v>
      </c>
      <c r="AI28" t="e">
        <f>AND(Heater!#REF!,"AAAAAH7j7yI=")</f>
        <v>#REF!</v>
      </c>
      <c r="AJ28" t="e">
        <f>AND(Heater!#REF!,"AAAAAH7j7yM=")</f>
        <v>#REF!</v>
      </c>
      <c r="AK28" t="e">
        <f>AND(Heater!#REF!,"AAAAAH7j7yQ=")</f>
        <v>#REF!</v>
      </c>
      <c r="AL28" t="e">
        <f>AND(Heater!#REF!,"AAAAAH7j7yU=")</f>
        <v>#REF!</v>
      </c>
      <c r="AM28" t="e">
        <f>AND(Heater!#REF!,"AAAAAH7j7yY=")</f>
        <v>#REF!</v>
      </c>
      <c r="AN28" t="e">
        <f>AND(Heater!#REF!,"AAAAAH7j7yc=")</f>
        <v>#REF!</v>
      </c>
      <c r="AO28" t="e">
        <f>AND(Heater!#REF!,"AAAAAH7j7yg=")</f>
        <v>#REF!</v>
      </c>
      <c r="AP28" t="e">
        <f>AND(Heater!#REF!,"AAAAAH7j7yk=")</f>
        <v>#REF!</v>
      </c>
      <c r="AQ28" t="e">
        <f>AND(Heater!#REF!,"AAAAAH7j7yo=")</f>
        <v>#REF!</v>
      </c>
      <c r="AR28" t="e">
        <f>IF(Heater!#REF!,"AAAAAH7j7ys=",0)</f>
        <v>#REF!</v>
      </c>
      <c r="AS28" t="e">
        <f>AND(Heater!#REF!,"AAAAAH7j7yw=")</f>
        <v>#REF!</v>
      </c>
      <c r="AT28" t="e">
        <f>AND(Heater!#REF!,"AAAAAH7j7y0=")</f>
        <v>#REF!</v>
      </c>
      <c r="AU28" t="e">
        <f>AND(Heater!#REF!,"AAAAAH7j7y4=")</f>
        <v>#REF!</v>
      </c>
      <c r="AV28" t="e">
        <f>AND(Heater!#REF!,"AAAAAH7j7y8=")</f>
        <v>#REF!</v>
      </c>
      <c r="AW28" t="e">
        <f>AND(Heater!#REF!,"AAAAAH7j7zA=")</f>
        <v>#REF!</v>
      </c>
      <c r="AX28" t="e">
        <f>AND(Heater!#REF!,"AAAAAH7j7zE=")</f>
        <v>#REF!</v>
      </c>
      <c r="AY28" t="e">
        <f>AND(Heater!#REF!,"AAAAAH7j7zI=")</f>
        <v>#REF!</v>
      </c>
      <c r="AZ28" t="e">
        <f>AND(Heater!#REF!,"AAAAAH7j7zM=")</f>
        <v>#REF!</v>
      </c>
      <c r="BA28" t="e">
        <f>AND(Heater!#REF!,"AAAAAH7j7zQ=")</f>
        <v>#REF!</v>
      </c>
      <c r="BB28" t="e">
        <f>AND(Heater!#REF!,"AAAAAH7j7zU=")</f>
        <v>#REF!</v>
      </c>
      <c r="BC28" t="e">
        <f>AND(Heater!#REF!,"AAAAAH7j7zY=")</f>
        <v>#REF!</v>
      </c>
      <c r="BD28" t="e">
        <f>AND(Heater!#REF!,"AAAAAH7j7zc=")</f>
        <v>#REF!</v>
      </c>
      <c r="BE28" t="e">
        <f>AND(Heater!#REF!,"AAAAAH7j7zg=")</f>
        <v>#REF!</v>
      </c>
      <c r="BF28" t="e">
        <f>AND(Heater!#REF!,"AAAAAH7j7zk=")</f>
        <v>#REF!</v>
      </c>
      <c r="BG28" t="e">
        <f>AND(Heater!#REF!,"AAAAAH7j7zo=")</f>
        <v>#REF!</v>
      </c>
      <c r="BH28" t="e">
        <f>IF(Heater!#REF!,"AAAAAH7j7zs=",0)</f>
        <v>#REF!</v>
      </c>
      <c r="BI28" t="e">
        <f>AND(Heater!#REF!,"AAAAAH7j7zw=")</f>
        <v>#REF!</v>
      </c>
      <c r="BJ28" t="e">
        <f>AND(Heater!#REF!,"AAAAAH7j7z0=")</f>
        <v>#REF!</v>
      </c>
      <c r="BK28" t="e">
        <f>AND(Heater!#REF!,"AAAAAH7j7z4=")</f>
        <v>#REF!</v>
      </c>
      <c r="BL28" t="e">
        <f>AND(Heater!#REF!,"AAAAAH7j7z8=")</f>
        <v>#REF!</v>
      </c>
      <c r="BM28" t="e">
        <f>AND(Heater!#REF!,"AAAAAH7j70A=")</f>
        <v>#REF!</v>
      </c>
      <c r="BN28" t="e">
        <f>AND(Heater!#REF!,"AAAAAH7j70E=")</f>
        <v>#REF!</v>
      </c>
      <c r="BO28" t="e">
        <f>AND(Heater!#REF!,"AAAAAH7j70I=")</f>
        <v>#REF!</v>
      </c>
      <c r="BP28" t="e">
        <f>AND(Heater!#REF!,"AAAAAH7j70M=")</f>
        <v>#REF!</v>
      </c>
      <c r="BQ28" t="e">
        <f>AND(Heater!#REF!,"AAAAAH7j70Q=")</f>
        <v>#REF!</v>
      </c>
      <c r="BR28" t="e">
        <f>AND(Heater!#REF!,"AAAAAH7j70U=")</f>
        <v>#REF!</v>
      </c>
      <c r="BS28" t="e">
        <f>AND(Heater!#REF!,"AAAAAH7j70Y=")</f>
        <v>#REF!</v>
      </c>
      <c r="BT28" t="e">
        <f>AND(Heater!#REF!,"AAAAAH7j70c=")</f>
        <v>#REF!</v>
      </c>
      <c r="BU28" t="e">
        <f>AND(Heater!#REF!,"AAAAAH7j70g=")</f>
        <v>#REF!</v>
      </c>
      <c r="BV28" t="e">
        <f>AND(Heater!#REF!,"AAAAAH7j70k=")</f>
        <v>#REF!</v>
      </c>
      <c r="BW28" t="e">
        <f>AND(Heater!#REF!,"AAAAAH7j70o=")</f>
        <v>#REF!</v>
      </c>
      <c r="BX28" t="e">
        <f>IF(Heater!#REF!,"AAAAAH7j70s=",0)</f>
        <v>#REF!</v>
      </c>
      <c r="BY28" t="e">
        <f>AND(Heater!#REF!,"AAAAAH7j70w=")</f>
        <v>#REF!</v>
      </c>
      <c r="BZ28" t="e">
        <f>AND(Heater!#REF!,"AAAAAH7j700=")</f>
        <v>#REF!</v>
      </c>
      <c r="CA28" t="e">
        <f>AND(Heater!#REF!,"AAAAAH7j704=")</f>
        <v>#REF!</v>
      </c>
      <c r="CB28" t="e">
        <f>AND(Heater!#REF!,"AAAAAH7j708=")</f>
        <v>#REF!</v>
      </c>
      <c r="CC28" t="e">
        <f>AND(Heater!#REF!,"AAAAAH7j71A=")</f>
        <v>#REF!</v>
      </c>
      <c r="CD28" t="e">
        <f>AND(Heater!#REF!,"AAAAAH7j71E=")</f>
        <v>#REF!</v>
      </c>
      <c r="CE28" t="e">
        <f>AND(Heater!#REF!,"AAAAAH7j71I=")</f>
        <v>#REF!</v>
      </c>
      <c r="CF28" t="e">
        <f>AND(Heater!#REF!,"AAAAAH7j71M=")</f>
        <v>#REF!</v>
      </c>
      <c r="CG28" t="e">
        <f>AND(Heater!#REF!,"AAAAAH7j71Q=")</f>
        <v>#REF!</v>
      </c>
      <c r="CH28" t="e">
        <f>AND(Heater!#REF!,"AAAAAH7j71U=")</f>
        <v>#REF!</v>
      </c>
      <c r="CI28" t="e">
        <f>AND(Heater!#REF!,"AAAAAH7j71Y=")</f>
        <v>#REF!</v>
      </c>
      <c r="CJ28" t="e">
        <f>AND(Heater!#REF!,"AAAAAH7j71c=")</f>
        <v>#REF!</v>
      </c>
      <c r="CK28" t="e">
        <f>AND(Heater!#REF!,"AAAAAH7j71g=")</f>
        <v>#REF!</v>
      </c>
      <c r="CL28" t="e">
        <f>AND(Heater!#REF!,"AAAAAH7j71k=")</f>
        <v>#REF!</v>
      </c>
      <c r="CM28" t="e">
        <f>AND(Heater!#REF!,"AAAAAH7j71o=")</f>
        <v>#REF!</v>
      </c>
      <c r="CN28" t="e">
        <f>IF(Heater!#REF!,"AAAAAH7j71s=",0)</f>
        <v>#REF!</v>
      </c>
      <c r="CO28" t="e">
        <f>AND(Heater!#REF!,"AAAAAH7j71w=")</f>
        <v>#REF!</v>
      </c>
      <c r="CP28" t="e">
        <f>AND(Heater!#REF!,"AAAAAH7j710=")</f>
        <v>#REF!</v>
      </c>
      <c r="CQ28" t="e">
        <f>AND(Heater!#REF!,"AAAAAH7j714=")</f>
        <v>#REF!</v>
      </c>
      <c r="CR28" t="e">
        <f>AND(Heater!#REF!,"AAAAAH7j718=")</f>
        <v>#REF!</v>
      </c>
      <c r="CS28" t="e">
        <f>AND(Heater!#REF!,"AAAAAH7j72A=")</f>
        <v>#REF!</v>
      </c>
      <c r="CT28" t="e">
        <f>AND(Heater!#REF!,"AAAAAH7j72E=")</f>
        <v>#REF!</v>
      </c>
      <c r="CU28" t="e">
        <f>AND(Heater!#REF!,"AAAAAH7j72I=")</f>
        <v>#REF!</v>
      </c>
      <c r="CV28" t="e">
        <f>AND(Heater!#REF!,"AAAAAH7j72M=")</f>
        <v>#REF!</v>
      </c>
      <c r="CW28" t="e">
        <f>AND(Heater!#REF!,"AAAAAH7j72Q=")</f>
        <v>#REF!</v>
      </c>
      <c r="CX28" t="e">
        <f>AND(Heater!#REF!,"AAAAAH7j72U=")</f>
        <v>#REF!</v>
      </c>
      <c r="CY28" t="e">
        <f>AND(Heater!#REF!,"AAAAAH7j72Y=")</f>
        <v>#REF!</v>
      </c>
      <c r="CZ28" t="e">
        <f>AND(Heater!#REF!,"AAAAAH7j72c=")</f>
        <v>#REF!</v>
      </c>
      <c r="DA28" t="e">
        <f>AND(Heater!#REF!,"AAAAAH7j72g=")</f>
        <v>#REF!</v>
      </c>
      <c r="DB28" t="e">
        <f>AND(Heater!#REF!,"AAAAAH7j72k=")</f>
        <v>#REF!</v>
      </c>
      <c r="DC28" t="e">
        <f>AND(Heater!#REF!,"AAAAAH7j72o=")</f>
        <v>#REF!</v>
      </c>
      <c r="DD28" t="e">
        <f>IF(Heater!#REF!,"AAAAAH7j72s=",0)</f>
        <v>#REF!</v>
      </c>
      <c r="DE28" t="e">
        <f>AND(Heater!#REF!,"AAAAAH7j72w=")</f>
        <v>#REF!</v>
      </c>
      <c r="DF28" t="e">
        <f>AND(Heater!#REF!,"AAAAAH7j720=")</f>
        <v>#REF!</v>
      </c>
      <c r="DG28" t="e">
        <f>AND(Heater!#REF!,"AAAAAH7j724=")</f>
        <v>#REF!</v>
      </c>
      <c r="DH28" t="e">
        <f>AND(Heater!#REF!,"AAAAAH7j728=")</f>
        <v>#REF!</v>
      </c>
      <c r="DI28" t="e">
        <f>AND(Heater!#REF!,"AAAAAH7j73A=")</f>
        <v>#REF!</v>
      </c>
      <c r="DJ28" t="e">
        <f>AND(Heater!#REF!,"AAAAAH7j73E=")</f>
        <v>#REF!</v>
      </c>
      <c r="DK28" t="e">
        <f>AND(Heater!#REF!,"AAAAAH7j73I=")</f>
        <v>#REF!</v>
      </c>
      <c r="DL28" t="e">
        <f>AND(Heater!#REF!,"AAAAAH7j73M=")</f>
        <v>#REF!</v>
      </c>
      <c r="DM28" t="e">
        <f>AND(Heater!#REF!,"AAAAAH7j73Q=")</f>
        <v>#REF!</v>
      </c>
      <c r="DN28" t="e">
        <f>AND(Heater!#REF!,"AAAAAH7j73U=")</f>
        <v>#REF!</v>
      </c>
      <c r="DO28" t="e">
        <f>AND(Heater!#REF!,"AAAAAH7j73Y=")</f>
        <v>#REF!</v>
      </c>
      <c r="DP28" t="e">
        <f>AND(Heater!#REF!,"AAAAAH7j73c=")</f>
        <v>#REF!</v>
      </c>
      <c r="DQ28" t="e">
        <f>AND(Heater!#REF!,"AAAAAH7j73g=")</f>
        <v>#REF!</v>
      </c>
      <c r="DR28" t="e">
        <f>AND(Heater!#REF!,"AAAAAH7j73k=")</f>
        <v>#REF!</v>
      </c>
      <c r="DS28" t="e">
        <f>AND(Heater!#REF!,"AAAAAH7j73o=")</f>
        <v>#REF!</v>
      </c>
      <c r="DT28" t="e">
        <f>IF(Heater!#REF!,"AAAAAH7j73s=",0)</f>
        <v>#REF!</v>
      </c>
      <c r="DU28" t="e">
        <f>AND(Heater!#REF!,"AAAAAH7j73w=")</f>
        <v>#REF!</v>
      </c>
      <c r="DV28" t="e">
        <f>AND(Heater!#REF!,"AAAAAH7j730=")</f>
        <v>#REF!</v>
      </c>
      <c r="DW28" t="e">
        <f>AND(Heater!#REF!,"AAAAAH7j734=")</f>
        <v>#REF!</v>
      </c>
      <c r="DX28" t="e">
        <f>AND(Heater!#REF!,"AAAAAH7j738=")</f>
        <v>#REF!</v>
      </c>
      <c r="DY28" t="e">
        <f>AND(Heater!#REF!,"AAAAAH7j74A=")</f>
        <v>#REF!</v>
      </c>
      <c r="DZ28" t="e">
        <f>AND(Heater!#REF!,"AAAAAH7j74E=")</f>
        <v>#REF!</v>
      </c>
      <c r="EA28" t="e">
        <f>AND(Heater!#REF!,"AAAAAH7j74I=")</f>
        <v>#REF!</v>
      </c>
      <c r="EB28" t="e">
        <f>AND(Heater!#REF!,"AAAAAH7j74M=")</f>
        <v>#REF!</v>
      </c>
      <c r="EC28" t="e">
        <f>AND(Heater!#REF!,"AAAAAH7j74Q=")</f>
        <v>#REF!</v>
      </c>
      <c r="ED28" t="e">
        <f>AND(Heater!#REF!,"AAAAAH7j74U=")</f>
        <v>#REF!</v>
      </c>
      <c r="EE28" t="e">
        <f>AND(Heater!#REF!,"AAAAAH7j74Y=")</f>
        <v>#REF!</v>
      </c>
      <c r="EF28" t="e">
        <f>AND(Heater!#REF!,"AAAAAH7j74c=")</f>
        <v>#REF!</v>
      </c>
      <c r="EG28" t="e">
        <f>AND(Heater!#REF!,"AAAAAH7j74g=")</f>
        <v>#REF!</v>
      </c>
      <c r="EH28" t="e">
        <f>AND(Heater!#REF!,"AAAAAH7j74k=")</f>
        <v>#REF!</v>
      </c>
      <c r="EI28" t="e">
        <f>AND(Heater!#REF!,"AAAAAH7j74o=")</f>
        <v>#REF!</v>
      </c>
      <c r="EJ28" t="e">
        <f>IF(Heater!#REF!,"AAAAAH7j74s=",0)</f>
        <v>#REF!</v>
      </c>
      <c r="EK28" t="e">
        <f>AND(Heater!#REF!,"AAAAAH7j74w=")</f>
        <v>#REF!</v>
      </c>
      <c r="EL28" t="e">
        <f>AND(Heater!#REF!,"AAAAAH7j740=")</f>
        <v>#REF!</v>
      </c>
      <c r="EM28" t="e">
        <f>AND(Heater!#REF!,"AAAAAH7j744=")</f>
        <v>#REF!</v>
      </c>
      <c r="EN28" t="e">
        <f>AND(Heater!#REF!,"AAAAAH7j748=")</f>
        <v>#REF!</v>
      </c>
      <c r="EO28" t="e">
        <f>AND(Heater!#REF!,"AAAAAH7j75A=")</f>
        <v>#REF!</v>
      </c>
      <c r="EP28" t="e">
        <f>AND(Heater!#REF!,"AAAAAH7j75E=")</f>
        <v>#REF!</v>
      </c>
      <c r="EQ28" t="e">
        <f>AND(Heater!#REF!,"AAAAAH7j75I=")</f>
        <v>#REF!</v>
      </c>
      <c r="ER28" t="e">
        <f>AND(Heater!#REF!,"AAAAAH7j75M=")</f>
        <v>#REF!</v>
      </c>
      <c r="ES28" t="e">
        <f>AND(Heater!#REF!,"AAAAAH7j75Q=")</f>
        <v>#REF!</v>
      </c>
      <c r="ET28" t="e">
        <f>AND(Heater!#REF!,"AAAAAH7j75U=")</f>
        <v>#REF!</v>
      </c>
      <c r="EU28" t="e">
        <f>AND(Heater!#REF!,"AAAAAH7j75Y=")</f>
        <v>#REF!</v>
      </c>
      <c r="EV28" t="e">
        <f>AND(Heater!#REF!,"AAAAAH7j75c=")</f>
        <v>#REF!</v>
      </c>
      <c r="EW28" t="e">
        <f>AND(Heater!#REF!,"AAAAAH7j75g=")</f>
        <v>#REF!</v>
      </c>
      <c r="EX28" t="e">
        <f>AND(Heater!#REF!,"AAAAAH7j75k=")</f>
        <v>#REF!</v>
      </c>
      <c r="EY28" t="e">
        <f>AND(Heater!#REF!,"AAAAAH7j75o=")</f>
        <v>#REF!</v>
      </c>
      <c r="EZ28" t="e">
        <f>IF(Heater!#REF!,"AAAAAH7j75s=",0)</f>
        <v>#REF!</v>
      </c>
      <c r="FA28" t="e">
        <f>AND(Heater!#REF!,"AAAAAH7j75w=")</f>
        <v>#REF!</v>
      </c>
      <c r="FB28" t="e">
        <f>AND(Heater!#REF!,"AAAAAH7j750=")</f>
        <v>#REF!</v>
      </c>
      <c r="FC28" t="e">
        <f>AND(Heater!#REF!,"AAAAAH7j754=")</f>
        <v>#REF!</v>
      </c>
      <c r="FD28" t="e">
        <f>AND(Heater!#REF!,"AAAAAH7j758=")</f>
        <v>#REF!</v>
      </c>
      <c r="FE28" t="e">
        <f>AND(Heater!#REF!,"AAAAAH7j76A=")</f>
        <v>#REF!</v>
      </c>
      <c r="FF28" t="e">
        <f>AND(Heater!#REF!,"AAAAAH7j76E=")</f>
        <v>#REF!</v>
      </c>
      <c r="FG28" t="e">
        <f>AND(Heater!#REF!,"AAAAAH7j76I=")</f>
        <v>#REF!</v>
      </c>
      <c r="FH28" t="e">
        <f>AND(Heater!#REF!,"AAAAAH7j76M=")</f>
        <v>#REF!</v>
      </c>
      <c r="FI28" t="e">
        <f>AND(Heater!#REF!,"AAAAAH7j76Q=")</f>
        <v>#REF!</v>
      </c>
      <c r="FJ28" t="e">
        <f>AND(Heater!#REF!,"AAAAAH7j76U=")</f>
        <v>#REF!</v>
      </c>
      <c r="FK28" t="e">
        <f>AND(Heater!#REF!,"AAAAAH7j76Y=")</f>
        <v>#REF!</v>
      </c>
      <c r="FL28" t="e">
        <f>AND(Heater!#REF!,"AAAAAH7j76c=")</f>
        <v>#REF!</v>
      </c>
      <c r="FM28" t="e">
        <f>AND(Heater!#REF!,"AAAAAH7j76g=")</f>
        <v>#REF!</v>
      </c>
      <c r="FN28" t="e">
        <f>AND(Heater!#REF!,"AAAAAH7j76k=")</f>
        <v>#REF!</v>
      </c>
      <c r="FO28" t="e">
        <f>AND(Heater!#REF!,"AAAAAH7j76o=")</f>
        <v>#REF!</v>
      </c>
      <c r="FP28" t="e">
        <f>IF(Heater!#REF!,"AAAAAH7j76s=",0)</f>
        <v>#REF!</v>
      </c>
      <c r="FQ28" t="e">
        <f>AND(Heater!#REF!,"AAAAAH7j76w=")</f>
        <v>#REF!</v>
      </c>
      <c r="FR28" t="e">
        <f>AND(Heater!#REF!,"AAAAAH7j760=")</f>
        <v>#REF!</v>
      </c>
      <c r="FS28" t="e">
        <f>AND(Heater!#REF!,"AAAAAH7j764=")</f>
        <v>#REF!</v>
      </c>
      <c r="FT28" t="e">
        <f>AND(Heater!#REF!,"AAAAAH7j768=")</f>
        <v>#REF!</v>
      </c>
      <c r="FU28" t="e">
        <f>AND(Heater!#REF!,"AAAAAH7j77A=")</f>
        <v>#REF!</v>
      </c>
      <c r="FV28" t="e">
        <f>AND(Heater!#REF!,"AAAAAH7j77E=")</f>
        <v>#REF!</v>
      </c>
      <c r="FW28" t="e">
        <f>AND(Heater!#REF!,"AAAAAH7j77I=")</f>
        <v>#REF!</v>
      </c>
      <c r="FX28" t="e">
        <f>AND(Heater!#REF!,"AAAAAH7j77M=")</f>
        <v>#REF!</v>
      </c>
      <c r="FY28" t="e">
        <f>AND(Heater!#REF!,"AAAAAH7j77Q=")</f>
        <v>#REF!</v>
      </c>
      <c r="FZ28" t="e">
        <f>AND(Heater!#REF!,"AAAAAH7j77U=")</f>
        <v>#REF!</v>
      </c>
      <c r="GA28" t="e">
        <f>AND(Heater!#REF!,"AAAAAH7j77Y=")</f>
        <v>#REF!</v>
      </c>
      <c r="GB28" t="e">
        <f>AND(Heater!#REF!,"AAAAAH7j77c=")</f>
        <v>#REF!</v>
      </c>
      <c r="GC28" t="e">
        <f>AND(Heater!#REF!,"AAAAAH7j77g=")</f>
        <v>#REF!</v>
      </c>
      <c r="GD28" t="e">
        <f>AND(Heater!#REF!,"AAAAAH7j77k=")</f>
        <v>#REF!</v>
      </c>
      <c r="GE28" t="e">
        <f>AND(Heater!#REF!,"AAAAAH7j77o=")</f>
        <v>#REF!</v>
      </c>
      <c r="GF28" t="e">
        <f>IF(Heater!#REF!,"AAAAAH7j77s=",0)</f>
        <v>#REF!</v>
      </c>
      <c r="GG28" t="e">
        <f>AND(Heater!#REF!,"AAAAAH7j77w=")</f>
        <v>#REF!</v>
      </c>
      <c r="GH28" t="e">
        <f>AND(Heater!#REF!,"AAAAAH7j770=")</f>
        <v>#REF!</v>
      </c>
      <c r="GI28" t="e">
        <f>AND(Heater!#REF!,"AAAAAH7j774=")</f>
        <v>#REF!</v>
      </c>
      <c r="GJ28" t="e">
        <f>AND(Heater!#REF!,"AAAAAH7j778=")</f>
        <v>#REF!</v>
      </c>
      <c r="GK28" t="e">
        <f>AND(Heater!#REF!,"AAAAAH7j78A=")</f>
        <v>#REF!</v>
      </c>
      <c r="GL28" t="e">
        <f>AND(Heater!#REF!,"AAAAAH7j78E=")</f>
        <v>#REF!</v>
      </c>
      <c r="GM28" t="e">
        <f>AND(Heater!#REF!,"AAAAAH7j78I=")</f>
        <v>#REF!</v>
      </c>
      <c r="GN28" t="e">
        <f>AND(Heater!#REF!,"AAAAAH7j78M=")</f>
        <v>#REF!</v>
      </c>
      <c r="GO28" t="e">
        <f>AND(Heater!#REF!,"AAAAAH7j78Q=")</f>
        <v>#REF!</v>
      </c>
      <c r="GP28" t="e">
        <f>AND(Heater!#REF!,"AAAAAH7j78U=")</f>
        <v>#REF!</v>
      </c>
      <c r="GQ28" t="e">
        <f>AND(Heater!#REF!,"AAAAAH7j78Y=")</f>
        <v>#REF!</v>
      </c>
      <c r="GR28" t="e">
        <f>AND(Heater!#REF!,"AAAAAH7j78c=")</f>
        <v>#REF!</v>
      </c>
      <c r="GS28" t="e">
        <f>AND(Heater!#REF!,"AAAAAH7j78g=")</f>
        <v>#REF!</v>
      </c>
      <c r="GT28" t="e">
        <f>AND(Heater!#REF!,"AAAAAH7j78k=")</f>
        <v>#REF!</v>
      </c>
      <c r="GU28" t="e">
        <f>AND(Heater!#REF!,"AAAAAH7j78o=")</f>
        <v>#REF!</v>
      </c>
      <c r="GV28" t="e">
        <f>IF(Heater!#REF!,"AAAAAH7j78s=",0)</f>
        <v>#REF!</v>
      </c>
      <c r="GW28" t="e">
        <f>AND(Heater!#REF!,"AAAAAH7j78w=")</f>
        <v>#REF!</v>
      </c>
      <c r="GX28" t="e">
        <f>AND(Heater!#REF!,"AAAAAH7j780=")</f>
        <v>#REF!</v>
      </c>
      <c r="GY28" t="e">
        <f>AND(Heater!#REF!,"AAAAAH7j784=")</f>
        <v>#REF!</v>
      </c>
      <c r="GZ28" t="e">
        <f>AND(Heater!#REF!,"AAAAAH7j788=")</f>
        <v>#REF!</v>
      </c>
      <c r="HA28" t="e">
        <f>AND(Heater!#REF!,"AAAAAH7j79A=")</f>
        <v>#REF!</v>
      </c>
      <c r="HB28" t="e">
        <f>AND(Heater!#REF!,"AAAAAH7j79E=")</f>
        <v>#REF!</v>
      </c>
      <c r="HC28" t="e">
        <f>AND(Heater!#REF!,"AAAAAH7j79I=")</f>
        <v>#REF!</v>
      </c>
      <c r="HD28" t="e">
        <f>AND(Heater!#REF!,"AAAAAH7j79M=")</f>
        <v>#REF!</v>
      </c>
      <c r="HE28" t="e">
        <f>AND(Heater!#REF!,"AAAAAH7j79Q=")</f>
        <v>#REF!</v>
      </c>
      <c r="HF28" t="e">
        <f>AND(Heater!#REF!,"AAAAAH7j79U=")</f>
        <v>#REF!</v>
      </c>
      <c r="HG28" t="e">
        <f>AND(Heater!#REF!,"AAAAAH7j79Y=")</f>
        <v>#REF!</v>
      </c>
      <c r="HH28" t="e">
        <f>AND(Heater!#REF!,"AAAAAH7j79c=")</f>
        <v>#REF!</v>
      </c>
      <c r="HI28" t="e">
        <f>AND(Heater!#REF!,"AAAAAH7j79g=")</f>
        <v>#REF!</v>
      </c>
      <c r="HJ28" t="e">
        <f>AND(Heater!#REF!,"AAAAAH7j79k=")</f>
        <v>#REF!</v>
      </c>
      <c r="HK28" t="e">
        <f>AND(Heater!#REF!,"AAAAAH7j79o=")</f>
        <v>#REF!</v>
      </c>
      <c r="HL28" t="e">
        <f>IF(Heater!#REF!,"AAAAAH7j79s=",0)</f>
        <v>#REF!</v>
      </c>
      <c r="HM28" t="e">
        <f>AND(Heater!#REF!,"AAAAAH7j79w=")</f>
        <v>#REF!</v>
      </c>
      <c r="HN28" t="e">
        <f>AND(Heater!#REF!,"AAAAAH7j790=")</f>
        <v>#REF!</v>
      </c>
      <c r="HO28" t="e">
        <f>AND(Heater!#REF!,"AAAAAH7j794=")</f>
        <v>#REF!</v>
      </c>
      <c r="HP28" t="e">
        <f>AND(Heater!#REF!,"AAAAAH7j798=")</f>
        <v>#REF!</v>
      </c>
      <c r="HQ28" t="e">
        <f>AND(Heater!#REF!,"AAAAAH7j7+A=")</f>
        <v>#REF!</v>
      </c>
      <c r="HR28" t="e">
        <f>AND(Heater!#REF!,"AAAAAH7j7+E=")</f>
        <v>#REF!</v>
      </c>
      <c r="HS28" t="e">
        <f>AND(Heater!#REF!,"AAAAAH7j7+I=")</f>
        <v>#REF!</v>
      </c>
      <c r="HT28" t="e">
        <f>AND(Heater!#REF!,"AAAAAH7j7+M=")</f>
        <v>#REF!</v>
      </c>
      <c r="HU28" t="e">
        <f>AND(Heater!#REF!,"AAAAAH7j7+Q=")</f>
        <v>#REF!</v>
      </c>
      <c r="HV28" t="e">
        <f>AND(Heater!#REF!,"AAAAAH7j7+U=")</f>
        <v>#REF!</v>
      </c>
      <c r="HW28" t="e">
        <f>AND(Heater!#REF!,"AAAAAH7j7+Y=")</f>
        <v>#REF!</v>
      </c>
      <c r="HX28" t="e">
        <f>AND(Heater!#REF!,"AAAAAH7j7+c=")</f>
        <v>#REF!</v>
      </c>
      <c r="HY28" t="e">
        <f>AND(Heater!#REF!,"AAAAAH7j7+g=")</f>
        <v>#REF!</v>
      </c>
      <c r="HZ28" t="e">
        <f>AND(Heater!#REF!,"AAAAAH7j7+k=")</f>
        <v>#REF!</v>
      </c>
      <c r="IA28" t="e">
        <f>AND(Heater!#REF!,"AAAAAH7j7+o=")</f>
        <v>#REF!</v>
      </c>
      <c r="IB28" t="e">
        <f>IF(Heater!#REF!,"AAAAAH7j7+s=",0)</f>
        <v>#REF!</v>
      </c>
      <c r="IC28" t="e">
        <f>AND(Heater!#REF!,"AAAAAH7j7+w=")</f>
        <v>#REF!</v>
      </c>
      <c r="ID28" t="e">
        <f>AND(Heater!#REF!,"AAAAAH7j7+0=")</f>
        <v>#REF!</v>
      </c>
      <c r="IE28" t="e">
        <f>AND(Heater!#REF!,"AAAAAH7j7+4=")</f>
        <v>#REF!</v>
      </c>
      <c r="IF28" t="e">
        <f>AND(Heater!#REF!,"AAAAAH7j7+8=")</f>
        <v>#REF!</v>
      </c>
      <c r="IG28" t="e">
        <f>AND(Heater!#REF!,"AAAAAH7j7/A=")</f>
        <v>#REF!</v>
      </c>
      <c r="IH28" t="e">
        <f>AND(Heater!#REF!,"AAAAAH7j7/E=")</f>
        <v>#REF!</v>
      </c>
      <c r="II28" t="e">
        <f>AND(Heater!#REF!,"AAAAAH7j7/I=")</f>
        <v>#REF!</v>
      </c>
      <c r="IJ28" t="e">
        <f>AND(Heater!#REF!,"AAAAAH7j7/M=")</f>
        <v>#REF!</v>
      </c>
      <c r="IK28" t="e">
        <f>AND(Heater!#REF!,"AAAAAH7j7/Q=")</f>
        <v>#REF!</v>
      </c>
      <c r="IL28" t="e">
        <f>AND(Heater!#REF!,"AAAAAH7j7/U=")</f>
        <v>#REF!</v>
      </c>
      <c r="IM28" t="e">
        <f>AND(Heater!#REF!,"AAAAAH7j7/Y=")</f>
        <v>#REF!</v>
      </c>
      <c r="IN28" t="e">
        <f>AND(Heater!#REF!,"AAAAAH7j7/c=")</f>
        <v>#REF!</v>
      </c>
      <c r="IO28" t="e">
        <f>AND(Heater!#REF!,"AAAAAH7j7/g=")</f>
        <v>#REF!</v>
      </c>
      <c r="IP28" t="e">
        <f>AND(Heater!#REF!,"AAAAAH7j7/k=")</f>
        <v>#REF!</v>
      </c>
      <c r="IQ28" t="e">
        <f>AND(Heater!#REF!,"AAAAAH7j7/o=")</f>
        <v>#REF!</v>
      </c>
      <c r="IR28" t="e">
        <f>IF(Heater!#REF!,"AAAAAH7j7/s=",0)</f>
        <v>#REF!</v>
      </c>
      <c r="IS28" t="e">
        <f>AND(Heater!#REF!,"AAAAAH7j7/w=")</f>
        <v>#REF!</v>
      </c>
      <c r="IT28" t="e">
        <f>AND(Heater!#REF!,"AAAAAH7j7/0=")</f>
        <v>#REF!</v>
      </c>
      <c r="IU28" t="e">
        <f>AND(Heater!#REF!,"AAAAAH7j7/4=")</f>
        <v>#REF!</v>
      </c>
      <c r="IV28" t="e">
        <f>AND(Heater!#REF!,"AAAAAH7j7/8=")</f>
        <v>#REF!</v>
      </c>
    </row>
    <row r="29" spans="1:256">
      <c r="A29" t="e">
        <f>AND(Heater!#REF!,"AAAAAHuTbwA=")</f>
        <v>#REF!</v>
      </c>
      <c r="B29" t="e">
        <f>AND(Heater!#REF!,"AAAAAHuTbwE=")</f>
        <v>#REF!</v>
      </c>
      <c r="C29" t="e">
        <f>AND(Heater!#REF!,"AAAAAHuTbwI=")</f>
        <v>#REF!</v>
      </c>
      <c r="D29" t="e">
        <f>AND(Heater!#REF!,"AAAAAHuTbwM=")</f>
        <v>#REF!</v>
      </c>
      <c r="E29" t="e">
        <f>AND(Heater!#REF!,"AAAAAHuTbwQ=")</f>
        <v>#REF!</v>
      </c>
      <c r="F29" t="e">
        <f>AND(Heater!#REF!,"AAAAAHuTbwU=")</f>
        <v>#REF!</v>
      </c>
      <c r="G29" t="e">
        <f>AND(Heater!#REF!,"AAAAAHuTbwY=")</f>
        <v>#REF!</v>
      </c>
      <c r="H29" t="e">
        <f>AND(Heater!#REF!,"AAAAAHuTbwc=")</f>
        <v>#REF!</v>
      </c>
      <c r="I29" t="e">
        <f>AND(Heater!#REF!,"AAAAAHuTbwg=")</f>
        <v>#REF!</v>
      </c>
      <c r="J29" t="e">
        <f>AND(Heater!#REF!,"AAAAAHuTbwk=")</f>
        <v>#REF!</v>
      </c>
      <c r="K29" t="e">
        <f>AND(Heater!#REF!,"AAAAAHuTbwo=")</f>
        <v>#REF!</v>
      </c>
      <c r="L29" t="e">
        <f>IF(Heater!#REF!,"AAAAAHuTbws=",0)</f>
        <v>#REF!</v>
      </c>
      <c r="M29" t="e">
        <f>AND(Heater!#REF!,"AAAAAHuTbww=")</f>
        <v>#REF!</v>
      </c>
      <c r="N29" t="e">
        <f>AND(Heater!#REF!,"AAAAAHuTbw0=")</f>
        <v>#REF!</v>
      </c>
      <c r="O29" t="e">
        <f>AND(Heater!#REF!,"AAAAAHuTbw4=")</f>
        <v>#REF!</v>
      </c>
      <c r="P29" t="e">
        <f>AND(Heater!#REF!,"AAAAAHuTbw8=")</f>
        <v>#REF!</v>
      </c>
      <c r="Q29" t="e">
        <f>AND(Heater!#REF!,"AAAAAHuTbxA=")</f>
        <v>#REF!</v>
      </c>
      <c r="R29" t="e">
        <f>AND(Heater!#REF!,"AAAAAHuTbxE=")</f>
        <v>#REF!</v>
      </c>
      <c r="S29" t="e">
        <f>AND(Heater!#REF!,"AAAAAHuTbxI=")</f>
        <v>#REF!</v>
      </c>
      <c r="T29" t="e">
        <f>AND(Heater!#REF!,"AAAAAHuTbxM=")</f>
        <v>#REF!</v>
      </c>
      <c r="U29" t="e">
        <f>AND(Heater!#REF!,"AAAAAHuTbxQ=")</f>
        <v>#REF!</v>
      </c>
      <c r="V29" t="e">
        <f>AND(Heater!#REF!,"AAAAAHuTbxU=")</f>
        <v>#REF!</v>
      </c>
      <c r="W29" t="e">
        <f>AND(Heater!#REF!,"AAAAAHuTbxY=")</f>
        <v>#REF!</v>
      </c>
      <c r="X29" t="e">
        <f>AND(Heater!#REF!,"AAAAAHuTbxc=")</f>
        <v>#REF!</v>
      </c>
      <c r="Y29" t="e">
        <f>AND(Heater!#REF!,"AAAAAHuTbxg=")</f>
        <v>#REF!</v>
      </c>
      <c r="Z29" t="e">
        <f>AND(Heater!#REF!,"AAAAAHuTbxk=")</f>
        <v>#REF!</v>
      </c>
      <c r="AA29" t="e">
        <f>AND(Heater!#REF!,"AAAAAHuTbxo=")</f>
        <v>#REF!</v>
      </c>
      <c r="AB29" t="e">
        <f>IF(Heater!#REF!,"AAAAAHuTbxs=",0)</f>
        <v>#REF!</v>
      </c>
      <c r="AC29" t="e">
        <f>AND(Heater!#REF!,"AAAAAHuTbxw=")</f>
        <v>#REF!</v>
      </c>
      <c r="AD29" t="e">
        <f>AND(Heater!#REF!,"AAAAAHuTbx0=")</f>
        <v>#REF!</v>
      </c>
      <c r="AE29" t="e">
        <f>AND(Heater!#REF!,"AAAAAHuTbx4=")</f>
        <v>#REF!</v>
      </c>
      <c r="AF29" t="e">
        <f>AND(Heater!#REF!,"AAAAAHuTbx8=")</f>
        <v>#REF!</v>
      </c>
      <c r="AG29" t="e">
        <f>AND(Heater!#REF!,"AAAAAHuTbyA=")</f>
        <v>#REF!</v>
      </c>
      <c r="AH29" t="e">
        <f>AND(Heater!#REF!,"AAAAAHuTbyE=")</f>
        <v>#REF!</v>
      </c>
      <c r="AI29" t="e">
        <f>AND(Heater!#REF!,"AAAAAHuTbyI=")</f>
        <v>#REF!</v>
      </c>
      <c r="AJ29" t="e">
        <f>AND(Heater!#REF!,"AAAAAHuTbyM=")</f>
        <v>#REF!</v>
      </c>
      <c r="AK29" t="e">
        <f>AND(Heater!#REF!,"AAAAAHuTbyQ=")</f>
        <v>#REF!</v>
      </c>
      <c r="AL29" t="e">
        <f>AND(Heater!#REF!,"AAAAAHuTbyU=")</f>
        <v>#REF!</v>
      </c>
      <c r="AM29" t="e">
        <f>AND(Heater!#REF!,"AAAAAHuTbyY=")</f>
        <v>#REF!</v>
      </c>
      <c r="AN29" t="e">
        <f>AND(Heater!#REF!,"AAAAAHuTbyc=")</f>
        <v>#REF!</v>
      </c>
      <c r="AO29" t="e">
        <f>AND(Heater!#REF!,"AAAAAHuTbyg=")</f>
        <v>#REF!</v>
      </c>
      <c r="AP29" t="e">
        <f>AND(Heater!#REF!,"AAAAAHuTbyk=")</f>
        <v>#REF!</v>
      </c>
      <c r="AQ29" t="e">
        <f>AND(Heater!#REF!,"AAAAAHuTbyo=")</f>
        <v>#REF!</v>
      </c>
      <c r="AR29" t="e">
        <f>IF(Heater!#REF!,"AAAAAHuTbys=",0)</f>
        <v>#REF!</v>
      </c>
      <c r="AS29" t="e">
        <f>AND(Heater!#REF!,"AAAAAHuTbyw=")</f>
        <v>#REF!</v>
      </c>
      <c r="AT29" t="e">
        <f>AND(Heater!#REF!,"AAAAAHuTby0=")</f>
        <v>#REF!</v>
      </c>
      <c r="AU29" t="e">
        <f>AND(Heater!#REF!,"AAAAAHuTby4=")</f>
        <v>#REF!</v>
      </c>
      <c r="AV29" t="e">
        <f>AND(Heater!#REF!,"AAAAAHuTby8=")</f>
        <v>#REF!</v>
      </c>
      <c r="AW29" t="e">
        <f>AND(Heater!#REF!,"AAAAAHuTbzA=")</f>
        <v>#REF!</v>
      </c>
      <c r="AX29" t="e">
        <f>AND(Heater!#REF!,"AAAAAHuTbzE=")</f>
        <v>#REF!</v>
      </c>
      <c r="AY29" t="e">
        <f>AND(Heater!#REF!,"AAAAAHuTbzI=")</f>
        <v>#REF!</v>
      </c>
      <c r="AZ29" t="e">
        <f>AND(Heater!#REF!,"AAAAAHuTbzM=")</f>
        <v>#REF!</v>
      </c>
      <c r="BA29" t="e">
        <f>AND(Heater!#REF!,"AAAAAHuTbzQ=")</f>
        <v>#REF!</v>
      </c>
      <c r="BB29" t="e">
        <f>AND(Heater!#REF!,"AAAAAHuTbzU=")</f>
        <v>#REF!</v>
      </c>
      <c r="BC29" t="e">
        <f>AND(Heater!#REF!,"AAAAAHuTbzY=")</f>
        <v>#REF!</v>
      </c>
      <c r="BD29" t="e">
        <f>AND(Heater!#REF!,"AAAAAHuTbzc=")</f>
        <v>#REF!</v>
      </c>
      <c r="BE29" t="e">
        <f>AND(Heater!#REF!,"AAAAAHuTbzg=")</f>
        <v>#REF!</v>
      </c>
      <c r="BF29" t="e">
        <f>AND(Heater!#REF!,"AAAAAHuTbzk=")</f>
        <v>#REF!</v>
      </c>
      <c r="BG29" t="e">
        <f>AND(Heater!#REF!,"AAAAAHuTbzo=")</f>
        <v>#REF!</v>
      </c>
      <c r="BH29" t="e">
        <f>IF(Heater!#REF!,"AAAAAHuTbzs=",0)</f>
        <v>#REF!</v>
      </c>
      <c r="BI29" t="e">
        <f>AND(Heater!#REF!,"AAAAAHuTbzw=")</f>
        <v>#REF!</v>
      </c>
      <c r="BJ29" t="e">
        <f>AND(Heater!#REF!,"AAAAAHuTbz0=")</f>
        <v>#REF!</v>
      </c>
      <c r="BK29" t="e">
        <f>AND(Heater!#REF!,"AAAAAHuTbz4=")</f>
        <v>#REF!</v>
      </c>
      <c r="BL29" t="e">
        <f>AND(Heater!#REF!,"AAAAAHuTbz8=")</f>
        <v>#REF!</v>
      </c>
      <c r="BM29" t="e">
        <f>AND(Heater!#REF!,"AAAAAHuTb0A=")</f>
        <v>#REF!</v>
      </c>
      <c r="BN29" t="e">
        <f>AND(Heater!#REF!,"AAAAAHuTb0E=")</f>
        <v>#REF!</v>
      </c>
      <c r="BO29" t="e">
        <f>AND(Heater!#REF!,"AAAAAHuTb0I=")</f>
        <v>#REF!</v>
      </c>
      <c r="BP29" t="e">
        <f>AND(Heater!#REF!,"AAAAAHuTb0M=")</f>
        <v>#REF!</v>
      </c>
      <c r="BQ29" t="e">
        <f>AND(Heater!#REF!,"AAAAAHuTb0Q=")</f>
        <v>#REF!</v>
      </c>
      <c r="BR29" t="e">
        <f>AND(Heater!#REF!,"AAAAAHuTb0U=")</f>
        <v>#REF!</v>
      </c>
      <c r="BS29" t="e">
        <f>AND(Heater!#REF!,"AAAAAHuTb0Y=")</f>
        <v>#REF!</v>
      </c>
      <c r="BT29" t="e">
        <f>AND(Heater!#REF!,"AAAAAHuTb0c=")</f>
        <v>#REF!</v>
      </c>
      <c r="BU29" t="e">
        <f>AND(Heater!#REF!,"AAAAAHuTb0g=")</f>
        <v>#REF!</v>
      </c>
      <c r="BV29" t="e">
        <f>AND(Heater!#REF!,"AAAAAHuTb0k=")</f>
        <v>#REF!</v>
      </c>
      <c r="BW29" t="e">
        <f>AND(Heater!#REF!,"AAAAAHuTb0o=")</f>
        <v>#REF!</v>
      </c>
      <c r="BX29" t="e">
        <f>IF(Heater!#REF!,"AAAAAHuTb0s=",0)</f>
        <v>#REF!</v>
      </c>
      <c r="BY29" t="e">
        <f>AND(Heater!#REF!,"AAAAAHuTb0w=")</f>
        <v>#REF!</v>
      </c>
      <c r="BZ29" t="e">
        <f>AND(Heater!#REF!,"AAAAAHuTb00=")</f>
        <v>#REF!</v>
      </c>
      <c r="CA29" t="e">
        <f>AND(Heater!#REF!,"AAAAAHuTb04=")</f>
        <v>#REF!</v>
      </c>
      <c r="CB29" t="e">
        <f>AND(Heater!#REF!,"AAAAAHuTb08=")</f>
        <v>#REF!</v>
      </c>
      <c r="CC29" t="e">
        <f>AND(Heater!#REF!,"AAAAAHuTb1A=")</f>
        <v>#REF!</v>
      </c>
      <c r="CD29" t="e">
        <f>AND(Heater!#REF!,"AAAAAHuTb1E=")</f>
        <v>#REF!</v>
      </c>
      <c r="CE29" t="e">
        <f>AND(Heater!#REF!,"AAAAAHuTb1I=")</f>
        <v>#REF!</v>
      </c>
      <c r="CF29" t="e">
        <f>AND(Heater!#REF!,"AAAAAHuTb1M=")</f>
        <v>#REF!</v>
      </c>
      <c r="CG29" t="e">
        <f>AND(Heater!#REF!,"AAAAAHuTb1Q=")</f>
        <v>#REF!</v>
      </c>
      <c r="CH29" t="e">
        <f>AND(Heater!#REF!,"AAAAAHuTb1U=")</f>
        <v>#REF!</v>
      </c>
      <c r="CI29" t="e">
        <f>AND(Heater!#REF!,"AAAAAHuTb1Y=")</f>
        <v>#REF!</v>
      </c>
      <c r="CJ29" t="e">
        <f>AND(Heater!#REF!,"AAAAAHuTb1c=")</f>
        <v>#REF!</v>
      </c>
      <c r="CK29" t="e">
        <f>AND(Heater!#REF!,"AAAAAHuTb1g=")</f>
        <v>#REF!</v>
      </c>
      <c r="CL29" t="e">
        <f>AND(Heater!#REF!,"AAAAAHuTb1k=")</f>
        <v>#REF!</v>
      </c>
      <c r="CM29" t="e">
        <f>AND(Heater!#REF!,"AAAAAHuTb1o=")</f>
        <v>#REF!</v>
      </c>
      <c r="CN29">
        <f>IF(Heater!42:42,"AAAAAHuTb1s=",0)</f>
        <v>0</v>
      </c>
      <c r="CO29" t="e">
        <f>AND(Heater!A42,"AAAAAHuTb1w=")</f>
        <v>#VALUE!</v>
      </c>
      <c r="CP29" t="e">
        <f>AND(Heater!B42,"AAAAAHuTb10=")</f>
        <v>#VALUE!</v>
      </c>
      <c r="CQ29" t="e">
        <f>AND(Heater!C42,"AAAAAHuTb14=")</f>
        <v>#VALUE!</v>
      </c>
      <c r="CR29" t="e">
        <f>AND(Heater!D42,"AAAAAHuTb18=")</f>
        <v>#VALUE!</v>
      </c>
      <c r="CS29" t="e">
        <f>AND(Heater!E42,"AAAAAHuTb2A=")</f>
        <v>#VALUE!</v>
      </c>
      <c r="CT29" t="e">
        <f>AND(Heater!F42,"AAAAAHuTb2E=")</f>
        <v>#VALUE!</v>
      </c>
      <c r="CU29" t="e">
        <f>AND(Heater!G42,"AAAAAHuTb2I=")</f>
        <v>#VALUE!</v>
      </c>
      <c r="CV29" t="e">
        <f>AND(Heater!H42,"AAAAAHuTb2M=")</f>
        <v>#VALUE!</v>
      </c>
      <c r="CW29" t="e">
        <f>AND(Heater!I42,"AAAAAHuTb2Q=")</f>
        <v>#VALUE!</v>
      </c>
      <c r="CX29" t="e">
        <f>AND(Heater!J42,"AAAAAHuTb2U=")</f>
        <v>#VALUE!</v>
      </c>
      <c r="CY29" t="e">
        <f>AND(Heater!K42,"AAAAAHuTb2Y=")</f>
        <v>#VALUE!</v>
      </c>
      <c r="CZ29" t="e">
        <f>AND(Heater!L42,"AAAAAHuTb2c=")</f>
        <v>#VALUE!</v>
      </c>
      <c r="DA29" t="e">
        <f>AND(Heater!M42,"AAAAAHuTb2g=")</f>
        <v>#VALUE!</v>
      </c>
      <c r="DB29" t="e">
        <f>AND(Heater!N42,"AAAAAHuTb2k=")</f>
        <v>#VALUE!</v>
      </c>
      <c r="DC29" t="e">
        <f>AND(Heater!O42,"AAAAAHuTb2o=")</f>
        <v>#VALUE!</v>
      </c>
      <c r="DD29" t="e">
        <f>IF(Heater!#REF!,"AAAAAHuTb2s=",0)</f>
        <v>#REF!</v>
      </c>
      <c r="DE29" t="e">
        <f>AND(Heater!#REF!,"AAAAAHuTb2w=")</f>
        <v>#REF!</v>
      </c>
      <c r="DF29" t="e">
        <f>AND(Heater!#REF!,"AAAAAHuTb20=")</f>
        <v>#REF!</v>
      </c>
      <c r="DG29" t="e">
        <f>AND(Heater!#REF!,"AAAAAHuTb24=")</f>
        <v>#REF!</v>
      </c>
      <c r="DH29" t="e">
        <f>AND(Heater!#REF!,"AAAAAHuTb28=")</f>
        <v>#REF!</v>
      </c>
      <c r="DI29" t="e">
        <f>AND(Heater!#REF!,"AAAAAHuTb3A=")</f>
        <v>#REF!</v>
      </c>
      <c r="DJ29" t="e">
        <f>AND(Heater!#REF!,"AAAAAHuTb3E=")</f>
        <v>#REF!</v>
      </c>
      <c r="DK29" t="e">
        <f>AND(Heater!#REF!,"AAAAAHuTb3I=")</f>
        <v>#REF!</v>
      </c>
      <c r="DL29" t="e">
        <f>AND(Heater!#REF!,"AAAAAHuTb3M=")</f>
        <v>#REF!</v>
      </c>
      <c r="DM29" t="e">
        <f>AND(Heater!#REF!,"AAAAAHuTb3Q=")</f>
        <v>#REF!</v>
      </c>
      <c r="DN29" t="e">
        <f>AND(Heater!#REF!,"AAAAAHuTb3U=")</f>
        <v>#REF!</v>
      </c>
      <c r="DO29" t="e">
        <f>AND(Heater!#REF!,"AAAAAHuTb3Y=")</f>
        <v>#REF!</v>
      </c>
      <c r="DP29" t="e">
        <f>AND(Heater!#REF!,"AAAAAHuTb3c=")</f>
        <v>#REF!</v>
      </c>
      <c r="DQ29" t="e">
        <f>AND(Heater!#REF!,"AAAAAHuTb3g=")</f>
        <v>#REF!</v>
      </c>
      <c r="DR29" t="e">
        <f>AND(Heater!#REF!,"AAAAAHuTb3k=")</f>
        <v>#REF!</v>
      </c>
      <c r="DS29" t="e">
        <f>AND(Heater!#REF!,"AAAAAHuTb3o=")</f>
        <v>#REF!</v>
      </c>
      <c r="DT29" t="e">
        <f>IF(Heater!#REF!,"AAAAAHuTb3s=",0)</f>
        <v>#REF!</v>
      </c>
      <c r="DU29" t="e">
        <f>AND(Heater!#REF!,"AAAAAHuTb3w=")</f>
        <v>#REF!</v>
      </c>
      <c r="DV29" t="e">
        <f>AND(Heater!#REF!,"AAAAAHuTb30=")</f>
        <v>#REF!</v>
      </c>
      <c r="DW29" t="e">
        <f>AND(Heater!#REF!,"AAAAAHuTb34=")</f>
        <v>#REF!</v>
      </c>
      <c r="DX29" t="e">
        <f>AND(Heater!#REF!,"AAAAAHuTb38=")</f>
        <v>#REF!</v>
      </c>
      <c r="DY29" t="e">
        <f>AND(Heater!#REF!,"AAAAAHuTb4A=")</f>
        <v>#REF!</v>
      </c>
      <c r="DZ29" t="e">
        <f>AND(Heater!#REF!,"AAAAAHuTb4E=")</f>
        <v>#REF!</v>
      </c>
      <c r="EA29" t="e">
        <f>AND(Heater!#REF!,"AAAAAHuTb4I=")</f>
        <v>#REF!</v>
      </c>
      <c r="EB29" t="e">
        <f>AND(Heater!#REF!,"AAAAAHuTb4M=")</f>
        <v>#REF!</v>
      </c>
      <c r="EC29" t="e">
        <f>AND(Heater!#REF!,"AAAAAHuTb4Q=")</f>
        <v>#REF!</v>
      </c>
      <c r="ED29" t="e">
        <f>AND(Heater!#REF!,"AAAAAHuTb4U=")</f>
        <v>#REF!</v>
      </c>
      <c r="EE29" t="e">
        <f>AND(Heater!#REF!,"AAAAAHuTb4Y=")</f>
        <v>#REF!</v>
      </c>
      <c r="EF29" t="e">
        <f>AND(Heater!#REF!,"AAAAAHuTb4c=")</f>
        <v>#REF!</v>
      </c>
      <c r="EG29" t="e">
        <f>AND(Heater!#REF!,"AAAAAHuTb4g=")</f>
        <v>#REF!</v>
      </c>
      <c r="EH29" t="e">
        <f>AND(Heater!#REF!,"AAAAAHuTb4k=")</f>
        <v>#REF!</v>
      </c>
      <c r="EI29" t="e">
        <f>AND(Heater!#REF!,"AAAAAHuTb4o=")</f>
        <v>#REF!</v>
      </c>
      <c r="EJ29" t="e">
        <f>IF(Heater!#REF!,"AAAAAHuTb4s=",0)</f>
        <v>#REF!</v>
      </c>
      <c r="EK29" t="e">
        <f>AND(Heater!#REF!,"AAAAAHuTb4w=")</f>
        <v>#REF!</v>
      </c>
      <c r="EL29" t="e">
        <f>AND(Heater!#REF!,"AAAAAHuTb40=")</f>
        <v>#REF!</v>
      </c>
      <c r="EM29" t="e">
        <f>AND(Heater!#REF!,"AAAAAHuTb44=")</f>
        <v>#REF!</v>
      </c>
      <c r="EN29" t="e">
        <f>AND(Heater!#REF!,"AAAAAHuTb48=")</f>
        <v>#REF!</v>
      </c>
      <c r="EO29" t="e">
        <f>AND(Heater!#REF!,"AAAAAHuTb5A=")</f>
        <v>#REF!</v>
      </c>
      <c r="EP29" t="e">
        <f>AND(Heater!#REF!,"AAAAAHuTb5E=")</f>
        <v>#REF!</v>
      </c>
      <c r="EQ29" t="e">
        <f>AND(Heater!#REF!,"AAAAAHuTb5I=")</f>
        <v>#REF!</v>
      </c>
      <c r="ER29" t="e">
        <f>AND(Heater!#REF!,"AAAAAHuTb5M=")</f>
        <v>#REF!</v>
      </c>
      <c r="ES29" t="e">
        <f>AND(Heater!#REF!,"AAAAAHuTb5Q=")</f>
        <v>#REF!</v>
      </c>
      <c r="ET29" t="e">
        <f>AND(Heater!#REF!,"AAAAAHuTb5U=")</f>
        <v>#REF!</v>
      </c>
      <c r="EU29" t="e">
        <f>AND(Heater!#REF!,"AAAAAHuTb5Y=")</f>
        <v>#REF!</v>
      </c>
      <c r="EV29" t="e">
        <f>AND(Heater!#REF!,"AAAAAHuTb5c=")</f>
        <v>#REF!</v>
      </c>
      <c r="EW29" t="e">
        <f>AND(Heater!#REF!,"AAAAAHuTb5g=")</f>
        <v>#REF!</v>
      </c>
      <c r="EX29" t="e">
        <f>AND(Heater!#REF!,"AAAAAHuTb5k=")</f>
        <v>#REF!</v>
      </c>
      <c r="EY29" t="e">
        <f>AND(Heater!#REF!,"AAAAAHuTb5o=")</f>
        <v>#REF!</v>
      </c>
      <c r="EZ29" t="e">
        <f>IF(Heater!#REF!,"AAAAAHuTb5s=",0)</f>
        <v>#REF!</v>
      </c>
      <c r="FA29" t="e">
        <f>AND(Heater!#REF!,"AAAAAHuTb5w=")</f>
        <v>#REF!</v>
      </c>
      <c r="FB29" t="e">
        <f>AND(Heater!#REF!,"AAAAAHuTb50=")</f>
        <v>#REF!</v>
      </c>
      <c r="FC29" t="e">
        <f>AND(Heater!#REF!,"AAAAAHuTb54=")</f>
        <v>#REF!</v>
      </c>
      <c r="FD29" t="e">
        <f>AND(Heater!#REF!,"AAAAAHuTb58=")</f>
        <v>#REF!</v>
      </c>
      <c r="FE29" t="e">
        <f>AND(Heater!#REF!,"AAAAAHuTb6A=")</f>
        <v>#REF!</v>
      </c>
      <c r="FF29" t="e">
        <f>AND(Heater!#REF!,"AAAAAHuTb6E=")</f>
        <v>#REF!</v>
      </c>
      <c r="FG29" t="e">
        <f>AND(Heater!#REF!,"AAAAAHuTb6I=")</f>
        <v>#REF!</v>
      </c>
      <c r="FH29" t="e">
        <f>AND(Heater!#REF!,"AAAAAHuTb6M=")</f>
        <v>#REF!</v>
      </c>
      <c r="FI29" t="e">
        <f>AND(Heater!#REF!,"AAAAAHuTb6Q=")</f>
        <v>#REF!</v>
      </c>
      <c r="FJ29" t="e">
        <f>AND(Heater!#REF!,"AAAAAHuTb6U=")</f>
        <v>#REF!</v>
      </c>
      <c r="FK29" t="e">
        <f>AND(Heater!#REF!,"AAAAAHuTb6Y=")</f>
        <v>#REF!</v>
      </c>
      <c r="FL29" t="e">
        <f>AND(Heater!#REF!,"AAAAAHuTb6c=")</f>
        <v>#REF!</v>
      </c>
      <c r="FM29" t="e">
        <f>AND(Heater!#REF!,"AAAAAHuTb6g=")</f>
        <v>#REF!</v>
      </c>
      <c r="FN29" t="e">
        <f>AND(Heater!#REF!,"AAAAAHuTb6k=")</f>
        <v>#REF!</v>
      </c>
      <c r="FO29" t="e">
        <f>AND(Heater!#REF!,"AAAAAHuTb6o=")</f>
        <v>#REF!</v>
      </c>
      <c r="FP29" t="e">
        <f>IF(Heater!#REF!,"AAAAAHuTb6s=",0)</f>
        <v>#REF!</v>
      </c>
      <c r="FQ29" t="e">
        <f>AND(Heater!#REF!,"AAAAAHuTb6w=")</f>
        <v>#REF!</v>
      </c>
      <c r="FR29" t="e">
        <f>AND(Heater!#REF!,"AAAAAHuTb60=")</f>
        <v>#REF!</v>
      </c>
      <c r="FS29" t="e">
        <f>AND(Heater!#REF!,"AAAAAHuTb64=")</f>
        <v>#REF!</v>
      </c>
      <c r="FT29" t="e">
        <f>AND(Heater!#REF!,"AAAAAHuTb68=")</f>
        <v>#REF!</v>
      </c>
      <c r="FU29" t="e">
        <f>AND(Heater!#REF!,"AAAAAHuTb7A=")</f>
        <v>#REF!</v>
      </c>
      <c r="FV29" t="e">
        <f>AND(Heater!#REF!,"AAAAAHuTb7E=")</f>
        <v>#REF!</v>
      </c>
      <c r="FW29" t="e">
        <f>AND(Heater!#REF!,"AAAAAHuTb7I=")</f>
        <v>#REF!</v>
      </c>
      <c r="FX29" t="e">
        <f>AND(Heater!#REF!,"AAAAAHuTb7M=")</f>
        <v>#REF!</v>
      </c>
      <c r="FY29" t="e">
        <f>AND(Heater!#REF!,"AAAAAHuTb7Q=")</f>
        <v>#REF!</v>
      </c>
      <c r="FZ29" t="e">
        <f>AND(Heater!#REF!,"AAAAAHuTb7U=")</f>
        <v>#REF!</v>
      </c>
      <c r="GA29" t="e">
        <f>AND(Heater!#REF!,"AAAAAHuTb7Y=")</f>
        <v>#REF!</v>
      </c>
      <c r="GB29" t="e">
        <f>AND(Heater!#REF!,"AAAAAHuTb7c=")</f>
        <v>#REF!</v>
      </c>
      <c r="GC29" t="e">
        <f>AND(Heater!#REF!,"AAAAAHuTb7g=")</f>
        <v>#REF!</v>
      </c>
      <c r="GD29" t="e">
        <f>AND(Heater!#REF!,"AAAAAHuTb7k=")</f>
        <v>#REF!</v>
      </c>
      <c r="GE29" t="e">
        <f>AND(Heater!#REF!,"AAAAAHuTb7o=")</f>
        <v>#REF!</v>
      </c>
      <c r="GF29" t="e">
        <f>IF(Heater!#REF!,"AAAAAHuTb7s=",0)</f>
        <v>#REF!</v>
      </c>
      <c r="GG29" t="e">
        <f>AND(Heater!#REF!,"AAAAAHuTb7w=")</f>
        <v>#REF!</v>
      </c>
      <c r="GH29" t="e">
        <f>AND(Heater!#REF!,"AAAAAHuTb70=")</f>
        <v>#REF!</v>
      </c>
      <c r="GI29" t="e">
        <f>AND(Heater!#REF!,"AAAAAHuTb74=")</f>
        <v>#REF!</v>
      </c>
      <c r="GJ29" t="e">
        <f>AND(Heater!#REF!,"AAAAAHuTb78=")</f>
        <v>#REF!</v>
      </c>
      <c r="GK29" t="e">
        <f>AND(Heater!#REF!,"AAAAAHuTb8A=")</f>
        <v>#REF!</v>
      </c>
      <c r="GL29" t="e">
        <f>AND(Heater!#REF!,"AAAAAHuTb8E=")</f>
        <v>#REF!</v>
      </c>
      <c r="GM29" t="e">
        <f>AND(Heater!#REF!,"AAAAAHuTb8I=")</f>
        <v>#REF!</v>
      </c>
      <c r="GN29" t="e">
        <f>AND(Heater!#REF!,"AAAAAHuTb8M=")</f>
        <v>#REF!</v>
      </c>
      <c r="GO29" t="e">
        <f>AND(Heater!#REF!,"AAAAAHuTb8Q=")</f>
        <v>#REF!</v>
      </c>
      <c r="GP29" t="e">
        <f>AND(Heater!#REF!,"AAAAAHuTb8U=")</f>
        <v>#REF!</v>
      </c>
      <c r="GQ29" t="e">
        <f>AND(Heater!#REF!,"AAAAAHuTb8Y=")</f>
        <v>#REF!</v>
      </c>
      <c r="GR29" t="e">
        <f>AND(Heater!#REF!,"AAAAAHuTb8c=")</f>
        <v>#REF!</v>
      </c>
      <c r="GS29" t="e">
        <f>AND(Heater!#REF!,"AAAAAHuTb8g=")</f>
        <v>#REF!</v>
      </c>
      <c r="GT29" t="e">
        <f>AND(Heater!#REF!,"AAAAAHuTb8k=")</f>
        <v>#REF!</v>
      </c>
      <c r="GU29" t="e">
        <f>AND(Heater!#REF!,"AAAAAHuTb8o=")</f>
        <v>#REF!</v>
      </c>
      <c r="GV29" t="e">
        <f>IF(Heater!#REF!,"AAAAAHuTb8s=",0)</f>
        <v>#REF!</v>
      </c>
      <c r="GW29" t="e">
        <f>AND(Heater!#REF!,"AAAAAHuTb8w=")</f>
        <v>#REF!</v>
      </c>
      <c r="GX29" t="e">
        <f>AND(Heater!#REF!,"AAAAAHuTb80=")</f>
        <v>#REF!</v>
      </c>
      <c r="GY29" t="e">
        <f>AND(Heater!#REF!,"AAAAAHuTb84=")</f>
        <v>#REF!</v>
      </c>
      <c r="GZ29" t="e">
        <f>AND(Heater!#REF!,"AAAAAHuTb88=")</f>
        <v>#REF!</v>
      </c>
      <c r="HA29" t="e">
        <f>AND(Heater!#REF!,"AAAAAHuTb9A=")</f>
        <v>#REF!</v>
      </c>
      <c r="HB29" t="e">
        <f>AND(Heater!#REF!,"AAAAAHuTb9E=")</f>
        <v>#REF!</v>
      </c>
      <c r="HC29" t="e">
        <f>AND(Heater!#REF!,"AAAAAHuTb9I=")</f>
        <v>#REF!</v>
      </c>
      <c r="HD29" t="e">
        <f>AND(Heater!#REF!,"AAAAAHuTb9M=")</f>
        <v>#REF!</v>
      </c>
      <c r="HE29" t="e">
        <f>AND(Heater!#REF!,"AAAAAHuTb9Q=")</f>
        <v>#REF!</v>
      </c>
      <c r="HF29" t="e">
        <f>AND(Heater!#REF!,"AAAAAHuTb9U=")</f>
        <v>#REF!</v>
      </c>
      <c r="HG29" t="e">
        <f>AND(Heater!#REF!,"AAAAAHuTb9Y=")</f>
        <v>#REF!</v>
      </c>
      <c r="HH29" t="e">
        <f>AND(Heater!#REF!,"AAAAAHuTb9c=")</f>
        <v>#REF!</v>
      </c>
      <c r="HI29" t="e">
        <f>AND(Heater!#REF!,"AAAAAHuTb9g=")</f>
        <v>#REF!</v>
      </c>
      <c r="HJ29" t="e">
        <f>AND(Heater!#REF!,"AAAAAHuTb9k=")</f>
        <v>#REF!</v>
      </c>
      <c r="HK29" t="e">
        <f>AND(Heater!#REF!,"AAAAAHuTb9o=")</f>
        <v>#REF!</v>
      </c>
      <c r="HL29" t="e">
        <f>IF(Heater!#REF!,"AAAAAHuTb9s=",0)</f>
        <v>#REF!</v>
      </c>
      <c r="HM29" t="e">
        <f>AND(Heater!#REF!,"AAAAAHuTb9w=")</f>
        <v>#REF!</v>
      </c>
      <c r="HN29" t="e">
        <f>AND(Heater!#REF!,"AAAAAHuTb90=")</f>
        <v>#REF!</v>
      </c>
      <c r="HO29" t="e">
        <f>AND(Heater!#REF!,"AAAAAHuTb94=")</f>
        <v>#REF!</v>
      </c>
      <c r="HP29" t="e">
        <f>AND(Heater!#REF!,"AAAAAHuTb98=")</f>
        <v>#REF!</v>
      </c>
      <c r="HQ29" t="e">
        <f>AND(Heater!#REF!,"AAAAAHuTb+A=")</f>
        <v>#REF!</v>
      </c>
      <c r="HR29" t="e">
        <f>AND(Heater!#REF!,"AAAAAHuTb+E=")</f>
        <v>#REF!</v>
      </c>
      <c r="HS29" t="e">
        <f>AND(Heater!#REF!,"AAAAAHuTb+I=")</f>
        <v>#REF!</v>
      </c>
      <c r="HT29" t="e">
        <f>AND(Heater!#REF!,"AAAAAHuTb+M=")</f>
        <v>#REF!</v>
      </c>
      <c r="HU29" t="e">
        <f>AND(Heater!#REF!,"AAAAAHuTb+Q=")</f>
        <v>#REF!</v>
      </c>
      <c r="HV29" t="e">
        <f>AND(Heater!#REF!,"AAAAAHuTb+U=")</f>
        <v>#REF!</v>
      </c>
      <c r="HW29" t="e">
        <f>AND(Heater!#REF!,"AAAAAHuTb+Y=")</f>
        <v>#REF!</v>
      </c>
      <c r="HX29" t="e">
        <f>AND(Heater!#REF!,"AAAAAHuTb+c=")</f>
        <v>#REF!</v>
      </c>
      <c r="HY29" t="e">
        <f>AND(Heater!#REF!,"AAAAAHuTb+g=")</f>
        <v>#REF!</v>
      </c>
      <c r="HZ29" t="e">
        <f>AND(Heater!#REF!,"AAAAAHuTb+k=")</f>
        <v>#REF!</v>
      </c>
      <c r="IA29" t="e">
        <f>AND(Heater!#REF!,"AAAAAHuTb+o=")</f>
        <v>#REF!</v>
      </c>
      <c r="IB29" t="e">
        <f>IF(Heater!#REF!,"AAAAAHuTb+s=",0)</f>
        <v>#REF!</v>
      </c>
      <c r="IC29" t="e">
        <f>AND(Heater!#REF!,"AAAAAHuTb+w=")</f>
        <v>#REF!</v>
      </c>
      <c r="ID29" t="e">
        <f>AND(Heater!#REF!,"AAAAAHuTb+0=")</f>
        <v>#REF!</v>
      </c>
      <c r="IE29" t="e">
        <f>AND(Heater!#REF!,"AAAAAHuTb+4=")</f>
        <v>#REF!</v>
      </c>
      <c r="IF29" t="e">
        <f>AND(Heater!#REF!,"AAAAAHuTb+8=")</f>
        <v>#REF!</v>
      </c>
      <c r="IG29" t="e">
        <f>AND(Heater!#REF!,"AAAAAHuTb/A=")</f>
        <v>#REF!</v>
      </c>
      <c r="IH29" t="e">
        <f>AND(Heater!#REF!,"AAAAAHuTb/E=")</f>
        <v>#REF!</v>
      </c>
      <c r="II29" t="e">
        <f>AND(Heater!#REF!,"AAAAAHuTb/I=")</f>
        <v>#REF!</v>
      </c>
      <c r="IJ29" t="e">
        <f>AND(Heater!#REF!,"AAAAAHuTb/M=")</f>
        <v>#REF!</v>
      </c>
      <c r="IK29" t="e">
        <f>AND(Heater!#REF!,"AAAAAHuTb/Q=")</f>
        <v>#REF!</v>
      </c>
      <c r="IL29" t="e">
        <f>AND(Heater!#REF!,"AAAAAHuTb/U=")</f>
        <v>#REF!</v>
      </c>
      <c r="IM29" t="e">
        <f>AND(Heater!#REF!,"AAAAAHuTb/Y=")</f>
        <v>#REF!</v>
      </c>
      <c r="IN29" t="e">
        <f>AND(Heater!#REF!,"AAAAAHuTb/c=")</f>
        <v>#REF!</v>
      </c>
      <c r="IO29" t="e">
        <f>AND(Heater!#REF!,"AAAAAHuTb/g=")</f>
        <v>#REF!</v>
      </c>
      <c r="IP29" t="e">
        <f>AND(Heater!#REF!,"AAAAAHuTb/k=")</f>
        <v>#REF!</v>
      </c>
      <c r="IQ29" t="e">
        <f>AND(Heater!#REF!,"AAAAAHuTb/o=")</f>
        <v>#REF!</v>
      </c>
      <c r="IR29" t="e">
        <f>IF(Heater!#REF!,"AAAAAHuTb/s=",0)</f>
        <v>#REF!</v>
      </c>
      <c r="IS29" t="e">
        <f>AND(Heater!#REF!,"AAAAAHuTb/w=")</f>
        <v>#REF!</v>
      </c>
      <c r="IT29" t="e">
        <f>AND(Heater!#REF!,"AAAAAHuTb/0=")</f>
        <v>#REF!</v>
      </c>
      <c r="IU29" t="e">
        <f>AND(Heater!#REF!,"AAAAAHuTb/4=")</f>
        <v>#REF!</v>
      </c>
      <c r="IV29" t="e">
        <f>AND(Heater!#REF!,"AAAAAHuTb/8=")</f>
        <v>#REF!</v>
      </c>
    </row>
    <row r="30" spans="1:256">
      <c r="A30" t="e">
        <f>AND(Heater!#REF!,"AAAAAFLo7wA=")</f>
        <v>#REF!</v>
      </c>
      <c r="B30" t="e">
        <f>AND(Heater!#REF!,"AAAAAFLo7wE=")</f>
        <v>#REF!</v>
      </c>
      <c r="C30" t="e">
        <f>AND(Heater!#REF!,"AAAAAFLo7wI=")</f>
        <v>#REF!</v>
      </c>
      <c r="D30" t="e">
        <f>AND(Heater!#REF!,"AAAAAFLo7wM=")</f>
        <v>#REF!</v>
      </c>
      <c r="E30" t="e">
        <f>AND(Heater!#REF!,"AAAAAFLo7wQ=")</f>
        <v>#REF!</v>
      </c>
      <c r="F30" t="e">
        <f>AND(Heater!#REF!,"AAAAAFLo7wU=")</f>
        <v>#REF!</v>
      </c>
      <c r="G30" t="e">
        <f>AND(Heater!#REF!,"AAAAAFLo7wY=")</f>
        <v>#REF!</v>
      </c>
      <c r="H30" t="e">
        <f>AND(Heater!#REF!,"AAAAAFLo7wc=")</f>
        <v>#REF!</v>
      </c>
      <c r="I30" t="e">
        <f>AND(Heater!#REF!,"AAAAAFLo7wg=")</f>
        <v>#REF!</v>
      </c>
      <c r="J30" t="e">
        <f>AND(Heater!#REF!,"AAAAAFLo7wk=")</f>
        <v>#REF!</v>
      </c>
      <c r="K30" t="e">
        <f>AND(Heater!#REF!,"AAAAAFLo7wo=")</f>
        <v>#REF!</v>
      </c>
      <c r="L30">
        <f>IF(Heater!43:43,"AAAAAFLo7ws=",0)</f>
        <v>0</v>
      </c>
      <c r="M30" t="e">
        <f>AND(Heater!A43,"AAAAAFLo7ww=")</f>
        <v>#VALUE!</v>
      </c>
      <c r="N30" t="e">
        <f>AND(Heater!B43,"AAAAAFLo7w0=")</f>
        <v>#VALUE!</v>
      </c>
      <c r="O30" t="e">
        <f>AND(Heater!C43,"AAAAAFLo7w4=")</f>
        <v>#VALUE!</v>
      </c>
      <c r="P30" t="e">
        <f>AND(Heater!D43,"AAAAAFLo7w8=")</f>
        <v>#VALUE!</v>
      </c>
      <c r="Q30" t="e">
        <f>AND(Heater!E43,"AAAAAFLo7xA=")</f>
        <v>#VALUE!</v>
      </c>
      <c r="R30" t="e">
        <f>AND(Heater!F43,"AAAAAFLo7xE=")</f>
        <v>#VALUE!</v>
      </c>
      <c r="S30" t="e">
        <f>AND(Heater!G43,"AAAAAFLo7xI=")</f>
        <v>#VALUE!</v>
      </c>
      <c r="T30" t="e">
        <f>AND(Heater!H43,"AAAAAFLo7xM=")</f>
        <v>#VALUE!</v>
      </c>
      <c r="U30" t="e">
        <f>AND(Heater!I43,"AAAAAFLo7xQ=")</f>
        <v>#VALUE!</v>
      </c>
      <c r="V30" t="e">
        <f>AND(Heater!J43,"AAAAAFLo7xU=")</f>
        <v>#VALUE!</v>
      </c>
      <c r="W30" t="e">
        <f>AND(Heater!K43,"AAAAAFLo7xY=")</f>
        <v>#VALUE!</v>
      </c>
      <c r="X30" t="e">
        <f>AND(Heater!L43,"AAAAAFLo7xc=")</f>
        <v>#VALUE!</v>
      </c>
      <c r="Y30" t="e">
        <f>AND(Heater!M43,"AAAAAFLo7xg=")</f>
        <v>#VALUE!</v>
      </c>
      <c r="Z30" t="e">
        <f>AND(Heater!N43,"AAAAAFLo7xk=")</f>
        <v>#VALUE!</v>
      </c>
      <c r="AA30" t="e">
        <f>AND(Heater!O43,"AAAAAFLo7xo=")</f>
        <v>#VALUE!</v>
      </c>
      <c r="AB30">
        <f>IF(Heater!44:44,"AAAAAFLo7xs=",0)</f>
        <v>0</v>
      </c>
      <c r="AC30" t="e">
        <f>AND(Heater!A44,"AAAAAFLo7xw=")</f>
        <v>#VALUE!</v>
      </c>
      <c r="AD30" t="e">
        <f>AND(Heater!B44,"AAAAAFLo7x0=")</f>
        <v>#VALUE!</v>
      </c>
      <c r="AE30" t="e">
        <f>AND(Heater!C44,"AAAAAFLo7x4=")</f>
        <v>#VALUE!</v>
      </c>
      <c r="AF30" t="e">
        <f>AND(Heater!D44,"AAAAAFLo7x8=")</f>
        <v>#VALUE!</v>
      </c>
      <c r="AG30" t="e">
        <f>AND(Heater!E44,"AAAAAFLo7yA=")</f>
        <v>#VALUE!</v>
      </c>
      <c r="AH30" t="e">
        <f>AND(Heater!F44,"AAAAAFLo7yE=")</f>
        <v>#VALUE!</v>
      </c>
      <c r="AI30" t="e">
        <f>AND(Heater!G44,"AAAAAFLo7yI=")</f>
        <v>#VALUE!</v>
      </c>
      <c r="AJ30" t="e">
        <f>AND(Heater!H44,"AAAAAFLo7yM=")</f>
        <v>#VALUE!</v>
      </c>
      <c r="AK30" t="e">
        <f>AND(Heater!I44,"AAAAAFLo7yQ=")</f>
        <v>#VALUE!</v>
      </c>
      <c r="AL30" t="e">
        <f>AND(Heater!J44,"AAAAAFLo7yU=")</f>
        <v>#VALUE!</v>
      </c>
      <c r="AM30" t="e">
        <f>AND(Heater!K44,"AAAAAFLo7yY=")</f>
        <v>#VALUE!</v>
      </c>
      <c r="AN30" t="e">
        <f>AND(Heater!L44,"AAAAAFLo7yc=")</f>
        <v>#VALUE!</v>
      </c>
      <c r="AO30" t="e">
        <f>AND(Heater!M44,"AAAAAFLo7yg=")</f>
        <v>#VALUE!</v>
      </c>
      <c r="AP30" t="e">
        <f>AND(Heater!N44,"AAAAAFLo7yk=")</f>
        <v>#VALUE!</v>
      </c>
      <c r="AQ30" t="e">
        <f>AND(Heater!O44,"AAAAAFLo7yo=")</f>
        <v>#VALUE!</v>
      </c>
      <c r="AR30" t="e">
        <f>IF(Heater!#REF!,"AAAAAFLo7ys=",0)</f>
        <v>#REF!</v>
      </c>
      <c r="AS30" t="e">
        <f>AND(Heater!#REF!,"AAAAAFLo7yw=")</f>
        <v>#REF!</v>
      </c>
      <c r="AT30" t="e">
        <f>AND(Heater!#REF!,"AAAAAFLo7y0=")</f>
        <v>#REF!</v>
      </c>
      <c r="AU30" t="e">
        <f>AND(Heater!#REF!,"AAAAAFLo7y4=")</f>
        <v>#REF!</v>
      </c>
      <c r="AV30" t="e">
        <f>AND(Heater!#REF!,"AAAAAFLo7y8=")</f>
        <v>#REF!</v>
      </c>
      <c r="AW30" t="e">
        <f>AND(Heater!#REF!,"AAAAAFLo7zA=")</f>
        <v>#REF!</v>
      </c>
      <c r="AX30" t="e">
        <f>AND(Heater!#REF!,"AAAAAFLo7zE=")</f>
        <v>#REF!</v>
      </c>
      <c r="AY30" t="e">
        <f>AND(Heater!#REF!,"AAAAAFLo7zI=")</f>
        <v>#REF!</v>
      </c>
      <c r="AZ30" t="e">
        <f>AND(Heater!#REF!,"AAAAAFLo7zM=")</f>
        <v>#REF!</v>
      </c>
      <c r="BA30" t="e">
        <f>AND(Heater!#REF!,"AAAAAFLo7zQ=")</f>
        <v>#REF!</v>
      </c>
      <c r="BB30" t="e">
        <f>AND(Heater!#REF!,"AAAAAFLo7zU=")</f>
        <v>#REF!</v>
      </c>
      <c r="BC30" t="e">
        <f>AND(Heater!#REF!,"AAAAAFLo7zY=")</f>
        <v>#REF!</v>
      </c>
      <c r="BD30" t="e">
        <f>AND(Heater!#REF!,"AAAAAFLo7zc=")</f>
        <v>#REF!</v>
      </c>
      <c r="BE30" t="e">
        <f>AND(Heater!#REF!,"AAAAAFLo7zg=")</f>
        <v>#REF!</v>
      </c>
      <c r="BF30" t="e">
        <f>AND(Heater!#REF!,"AAAAAFLo7zk=")</f>
        <v>#REF!</v>
      </c>
      <c r="BG30" t="e">
        <f>AND(Heater!#REF!,"AAAAAFLo7zo=")</f>
        <v>#REF!</v>
      </c>
      <c r="BH30" t="e">
        <f>IF(Heater!#REF!,"AAAAAFLo7zs=",0)</f>
        <v>#REF!</v>
      </c>
      <c r="BI30" t="e">
        <f>AND(Heater!#REF!,"AAAAAFLo7zw=")</f>
        <v>#REF!</v>
      </c>
      <c r="BJ30" t="e">
        <f>AND(Heater!#REF!,"AAAAAFLo7z0=")</f>
        <v>#REF!</v>
      </c>
      <c r="BK30" t="e">
        <f>AND(Heater!#REF!,"AAAAAFLo7z4=")</f>
        <v>#REF!</v>
      </c>
      <c r="BL30" t="e">
        <f>AND(Heater!#REF!,"AAAAAFLo7z8=")</f>
        <v>#REF!</v>
      </c>
      <c r="BM30" t="e">
        <f>AND(Heater!#REF!,"AAAAAFLo70A=")</f>
        <v>#REF!</v>
      </c>
      <c r="BN30" t="e">
        <f>AND(Heater!#REF!,"AAAAAFLo70E=")</f>
        <v>#REF!</v>
      </c>
      <c r="BO30" t="e">
        <f>AND(Heater!#REF!,"AAAAAFLo70I=")</f>
        <v>#REF!</v>
      </c>
      <c r="BP30" t="e">
        <f>AND(Heater!#REF!,"AAAAAFLo70M=")</f>
        <v>#REF!</v>
      </c>
      <c r="BQ30" t="e">
        <f>AND(Heater!#REF!,"AAAAAFLo70Q=")</f>
        <v>#REF!</v>
      </c>
      <c r="BR30" t="e">
        <f>AND(Heater!#REF!,"AAAAAFLo70U=")</f>
        <v>#REF!</v>
      </c>
      <c r="BS30" t="e">
        <f>AND(Heater!#REF!,"AAAAAFLo70Y=")</f>
        <v>#REF!</v>
      </c>
      <c r="BT30" t="e">
        <f>AND(Heater!#REF!,"AAAAAFLo70c=")</f>
        <v>#REF!</v>
      </c>
      <c r="BU30" t="e">
        <f>AND(Heater!#REF!,"AAAAAFLo70g=")</f>
        <v>#REF!</v>
      </c>
      <c r="BV30" t="e">
        <f>AND(Heater!#REF!,"AAAAAFLo70k=")</f>
        <v>#REF!</v>
      </c>
      <c r="BW30" t="e">
        <f>AND(Heater!#REF!,"AAAAAFLo70o=")</f>
        <v>#REF!</v>
      </c>
      <c r="BX30" t="e">
        <f>IF(Heater!#REF!,"AAAAAFLo70s=",0)</f>
        <v>#REF!</v>
      </c>
      <c r="BY30" t="e">
        <f>AND(Heater!#REF!,"AAAAAFLo70w=")</f>
        <v>#REF!</v>
      </c>
      <c r="BZ30" t="e">
        <f>AND(Heater!#REF!,"AAAAAFLo700=")</f>
        <v>#REF!</v>
      </c>
      <c r="CA30" t="e">
        <f>AND(Heater!#REF!,"AAAAAFLo704=")</f>
        <v>#REF!</v>
      </c>
      <c r="CB30" t="e">
        <f>AND(Heater!#REF!,"AAAAAFLo708=")</f>
        <v>#REF!</v>
      </c>
      <c r="CC30" t="e">
        <f>AND(Heater!#REF!,"AAAAAFLo71A=")</f>
        <v>#REF!</v>
      </c>
      <c r="CD30" t="e">
        <f>AND(Heater!#REF!,"AAAAAFLo71E=")</f>
        <v>#REF!</v>
      </c>
      <c r="CE30" t="e">
        <f>AND(Heater!#REF!,"AAAAAFLo71I=")</f>
        <v>#REF!</v>
      </c>
      <c r="CF30" t="e">
        <f>AND(Heater!#REF!,"AAAAAFLo71M=")</f>
        <v>#REF!</v>
      </c>
      <c r="CG30" t="e">
        <f>AND(Heater!#REF!,"AAAAAFLo71Q=")</f>
        <v>#REF!</v>
      </c>
      <c r="CH30" t="e">
        <f>AND(Heater!#REF!,"AAAAAFLo71U=")</f>
        <v>#REF!</v>
      </c>
      <c r="CI30" t="e">
        <f>AND(Heater!#REF!,"AAAAAFLo71Y=")</f>
        <v>#REF!</v>
      </c>
      <c r="CJ30" t="e">
        <f>AND(Heater!#REF!,"AAAAAFLo71c=")</f>
        <v>#REF!</v>
      </c>
      <c r="CK30" t="e">
        <f>AND(Heater!#REF!,"AAAAAFLo71g=")</f>
        <v>#REF!</v>
      </c>
      <c r="CL30" t="e">
        <f>AND(Heater!#REF!,"AAAAAFLo71k=")</f>
        <v>#REF!</v>
      </c>
      <c r="CM30" t="e">
        <f>AND(Heater!#REF!,"AAAAAFLo71o=")</f>
        <v>#REF!</v>
      </c>
      <c r="CN30" t="e">
        <f>IF(Heater!#REF!,"AAAAAFLo71s=",0)</f>
        <v>#REF!</v>
      </c>
      <c r="CO30" t="e">
        <f>AND(Heater!#REF!,"AAAAAFLo71w=")</f>
        <v>#REF!</v>
      </c>
      <c r="CP30" t="e">
        <f>AND(Heater!#REF!,"AAAAAFLo710=")</f>
        <v>#REF!</v>
      </c>
      <c r="CQ30" t="e">
        <f>AND(Heater!#REF!,"AAAAAFLo714=")</f>
        <v>#REF!</v>
      </c>
      <c r="CR30" t="e">
        <f>AND(Heater!#REF!,"AAAAAFLo718=")</f>
        <v>#REF!</v>
      </c>
      <c r="CS30" t="e">
        <f>AND(Heater!#REF!,"AAAAAFLo72A=")</f>
        <v>#REF!</v>
      </c>
      <c r="CT30" t="e">
        <f>AND(Heater!#REF!,"AAAAAFLo72E=")</f>
        <v>#REF!</v>
      </c>
      <c r="CU30" t="e">
        <f>AND(Heater!#REF!,"AAAAAFLo72I=")</f>
        <v>#REF!</v>
      </c>
      <c r="CV30" t="e">
        <f>AND(Heater!#REF!,"AAAAAFLo72M=")</f>
        <v>#REF!</v>
      </c>
      <c r="CW30" t="e">
        <f>AND(Heater!#REF!,"AAAAAFLo72Q=")</f>
        <v>#REF!</v>
      </c>
      <c r="CX30" t="e">
        <f>AND(Heater!#REF!,"AAAAAFLo72U=")</f>
        <v>#REF!</v>
      </c>
      <c r="CY30" t="e">
        <f>AND(Heater!#REF!,"AAAAAFLo72Y=")</f>
        <v>#REF!</v>
      </c>
      <c r="CZ30" t="e">
        <f>AND(Heater!#REF!,"AAAAAFLo72c=")</f>
        <v>#REF!</v>
      </c>
      <c r="DA30" t="e">
        <f>AND(Heater!#REF!,"AAAAAFLo72g=")</f>
        <v>#REF!</v>
      </c>
      <c r="DB30" t="e">
        <f>AND(Heater!#REF!,"AAAAAFLo72k=")</f>
        <v>#REF!</v>
      </c>
      <c r="DC30" t="e">
        <f>AND(Heater!#REF!,"AAAAAFLo72o=")</f>
        <v>#REF!</v>
      </c>
      <c r="DD30" t="e">
        <f>IF(Heater!#REF!,"AAAAAFLo72s=",0)</f>
        <v>#REF!</v>
      </c>
      <c r="DE30" t="e">
        <f>AND(Heater!#REF!,"AAAAAFLo72w=")</f>
        <v>#REF!</v>
      </c>
      <c r="DF30" t="e">
        <f>AND(Heater!#REF!,"AAAAAFLo720=")</f>
        <v>#REF!</v>
      </c>
      <c r="DG30" t="e">
        <f>AND(Heater!#REF!,"AAAAAFLo724=")</f>
        <v>#REF!</v>
      </c>
      <c r="DH30" t="e">
        <f>AND(Heater!#REF!,"AAAAAFLo728=")</f>
        <v>#REF!</v>
      </c>
      <c r="DI30" t="e">
        <f>AND(Heater!#REF!,"AAAAAFLo73A=")</f>
        <v>#REF!</v>
      </c>
      <c r="DJ30" t="e">
        <f>AND(Heater!#REF!,"AAAAAFLo73E=")</f>
        <v>#REF!</v>
      </c>
      <c r="DK30" t="e">
        <f>AND(Heater!#REF!,"AAAAAFLo73I=")</f>
        <v>#REF!</v>
      </c>
      <c r="DL30" t="e">
        <f>AND(Heater!#REF!,"AAAAAFLo73M=")</f>
        <v>#REF!</v>
      </c>
      <c r="DM30" t="e">
        <f>AND(Heater!#REF!,"AAAAAFLo73Q=")</f>
        <v>#REF!</v>
      </c>
      <c r="DN30" t="e">
        <f>AND(Heater!#REF!,"AAAAAFLo73U=")</f>
        <v>#REF!</v>
      </c>
      <c r="DO30" t="e">
        <f>AND(Heater!#REF!,"AAAAAFLo73Y=")</f>
        <v>#REF!</v>
      </c>
      <c r="DP30" t="e">
        <f>AND(Heater!#REF!,"AAAAAFLo73c=")</f>
        <v>#REF!</v>
      </c>
      <c r="DQ30" t="e">
        <f>AND(Heater!#REF!,"AAAAAFLo73g=")</f>
        <v>#REF!</v>
      </c>
      <c r="DR30" t="e">
        <f>AND(Heater!#REF!,"AAAAAFLo73k=")</f>
        <v>#REF!</v>
      </c>
      <c r="DS30" t="e">
        <f>AND(Heater!#REF!,"AAAAAFLo73o=")</f>
        <v>#REF!</v>
      </c>
      <c r="DT30" t="e">
        <f>IF(Heater!#REF!,"AAAAAFLo73s=",0)</f>
        <v>#REF!</v>
      </c>
      <c r="DU30" t="e">
        <f>AND(Heater!#REF!,"AAAAAFLo73w=")</f>
        <v>#REF!</v>
      </c>
      <c r="DV30" t="e">
        <f>AND(Heater!#REF!,"AAAAAFLo730=")</f>
        <v>#REF!</v>
      </c>
      <c r="DW30" t="e">
        <f>AND(Heater!#REF!,"AAAAAFLo734=")</f>
        <v>#REF!</v>
      </c>
      <c r="DX30" t="e">
        <f>AND(Heater!#REF!,"AAAAAFLo738=")</f>
        <v>#REF!</v>
      </c>
      <c r="DY30" t="e">
        <f>AND(Heater!#REF!,"AAAAAFLo74A=")</f>
        <v>#REF!</v>
      </c>
      <c r="DZ30" t="e">
        <f>AND(Heater!#REF!,"AAAAAFLo74E=")</f>
        <v>#REF!</v>
      </c>
      <c r="EA30" t="e">
        <f>AND(Heater!#REF!,"AAAAAFLo74I=")</f>
        <v>#REF!</v>
      </c>
      <c r="EB30" t="e">
        <f>AND(Heater!#REF!,"AAAAAFLo74M=")</f>
        <v>#REF!</v>
      </c>
      <c r="EC30" t="e">
        <f>AND(Heater!#REF!,"AAAAAFLo74Q=")</f>
        <v>#REF!</v>
      </c>
      <c r="ED30" t="e">
        <f>AND(Heater!#REF!,"AAAAAFLo74U=")</f>
        <v>#REF!</v>
      </c>
      <c r="EE30" t="e">
        <f>AND(Heater!#REF!,"AAAAAFLo74Y=")</f>
        <v>#REF!</v>
      </c>
      <c r="EF30" t="e">
        <f>AND(Heater!#REF!,"AAAAAFLo74c=")</f>
        <v>#REF!</v>
      </c>
      <c r="EG30" t="e">
        <f>AND(Heater!#REF!,"AAAAAFLo74g=")</f>
        <v>#REF!</v>
      </c>
      <c r="EH30" t="e">
        <f>AND(Heater!#REF!,"AAAAAFLo74k=")</f>
        <v>#REF!</v>
      </c>
      <c r="EI30" t="e">
        <f>AND(Heater!#REF!,"AAAAAFLo74o=")</f>
        <v>#REF!</v>
      </c>
      <c r="EJ30" t="e">
        <f>IF(Heater!#REF!,"AAAAAFLo74s=",0)</f>
        <v>#REF!</v>
      </c>
      <c r="EK30" t="e">
        <f>AND(Heater!#REF!,"AAAAAFLo74w=")</f>
        <v>#REF!</v>
      </c>
      <c r="EL30" t="e">
        <f>AND(Heater!#REF!,"AAAAAFLo740=")</f>
        <v>#REF!</v>
      </c>
      <c r="EM30" t="e">
        <f>AND(Heater!#REF!,"AAAAAFLo744=")</f>
        <v>#REF!</v>
      </c>
      <c r="EN30" t="e">
        <f>AND(Heater!#REF!,"AAAAAFLo748=")</f>
        <v>#REF!</v>
      </c>
      <c r="EO30" t="e">
        <f>AND(Heater!#REF!,"AAAAAFLo75A=")</f>
        <v>#REF!</v>
      </c>
      <c r="EP30" t="e">
        <f>AND(Heater!#REF!,"AAAAAFLo75E=")</f>
        <v>#REF!</v>
      </c>
      <c r="EQ30" t="e">
        <f>AND(Heater!#REF!,"AAAAAFLo75I=")</f>
        <v>#REF!</v>
      </c>
      <c r="ER30" t="e">
        <f>AND(Heater!#REF!,"AAAAAFLo75M=")</f>
        <v>#REF!</v>
      </c>
      <c r="ES30" t="e">
        <f>AND(Heater!#REF!,"AAAAAFLo75Q=")</f>
        <v>#REF!</v>
      </c>
      <c r="ET30" t="e">
        <f>AND(Heater!#REF!,"AAAAAFLo75U=")</f>
        <v>#REF!</v>
      </c>
      <c r="EU30" t="e">
        <f>AND(Heater!#REF!,"AAAAAFLo75Y=")</f>
        <v>#REF!</v>
      </c>
      <c r="EV30" t="e">
        <f>AND(Heater!#REF!,"AAAAAFLo75c=")</f>
        <v>#REF!</v>
      </c>
      <c r="EW30" t="e">
        <f>AND(Heater!#REF!,"AAAAAFLo75g=")</f>
        <v>#REF!</v>
      </c>
      <c r="EX30" t="e">
        <f>AND(Heater!#REF!,"AAAAAFLo75k=")</f>
        <v>#REF!</v>
      </c>
      <c r="EY30" t="e">
        <f>AND(Heater!#REF!,"AAAAAFLo75o=")</f>
        <v>#REF!</v>
      </c>
      <c r="EZ30" t="e">
        <f>IF(Heater!#REF!,"AAAAAFLo75s=",0)</f>
        <v>#REF!</v>
      </c>
      <c r="FA30" t="e">
        <f>AND(Heater!#REF!,"AAAAAFLo75w=")</f>
        <v>#REF!</v>
      </c>
      <c r="FB30" t="e">
        <f>AND(Heater!#REF!,"AAAAAFLo750=")</f>
        <v>#REF!</v>
      </c>
      <c r="FC30" t="e">
        <f>AND(Heater!#REF!,"AAAAAFLo754=")</f>
        <v>#REF!</v>
      </c>
      <c r="FD30" t="e">
        <f>AND(Heater!#REF!,"AAAAAFLo758=")</f>
        <v>#REF!</v>
      </c>
      <c r="FE30" t="e">
        <f>AND(Heater!#REF!,"AAAAAFLo76A=")</f>
        <v>#REF!</v>
      </c>
      <c r="FF30" t="e">
        <f>AND(Heater!#REF!,"AAAAAFLo76E=")</f>
        <v>#REF!</v>
      </c>
      <c r="FG30" t="e">
        <f>AND(Heater!#REF!,"AAAAAFLo76I=")</f>
        <v>#REF!</v>
      </c>
      <c r="FH30" t="e">
        <f>AND(Heater!#REF!,"AAAAAFLo76M=")</f>
        <v>#REF!</v>
      </c>
      <c r="FI30" t="e">
        <f>AND(Heater!#REF!,"AAAAAFLo76Q=")</f>
        <v>#REF!</v>
      </c>
      <c r="FJ30" t="e">
        <f>AND(Heater!#REF!,"AAAAAFLo76U=")</f>
        <v>#REF!</v>
      </c>
      <c r="FK30" t="e">
        <f>AND(Heater!#REF!,"AAAAAFLo76Y=")</f>
        <v>#REF!</v>
      </c>
      <c r="FL30" t="e">
        <f>AND(Heater!#REF!,"AAAAAFLo76c=")</f>
        <v>#REF!</v>
      </c>
      <c r="FM30" t="e">
        <f>AND(Heater!#REF!,"AAAAAFLo76g=")</f>
        <v>#REF!</v>
      </c>
      <c r="FN30" t="e">
        <f>AND(Heater!#REF!,"AAAAAFLo76k=")</f>
        <v>#REF!</v>
      </c>
      <c r="FO30" t="e">
        <f>AND(Heater!#REF!,"AAAAAFLo76o=")</f>
        <v>#REF!</v>
      </c>
      <c r="FP30" t="e">
        <f>IF(Heater!#REF!,"AAAAAFLo76s=",0)</f>
        <v>#REF!</v>
      </c>
      <c r="FQ30" t="e">
        <f>AND(Heater!#REF!,"AAAAAFLo76w=")</f>
        <v>#REF!</v>
      </c>
      <c r="FR30" t="e">
        <f>AND(Heater!#REF!,"AAAAAFLo760=")</f>
        <v>#REF!</v>
      </c>
      <c r="FS30" t="e">
        <f>AND(Heater!#REF!,"AAAAAFLo764=")</f>
        <v>#REF!</v>
      </c>
      <c r="FT30" t="e">
        <f>AND(Heater!#REF!,"AAAAAFLo768=")</f>
        <v>#REF!</v>
      </c>
      <c r="FU30" t="e">
        <f>AND(Heater!#REF!,"AAAAAFLo77A=")</f>
        <v>#REF!</v>
      </c>
      <c r="FV30" t="e">
        <f>AND(Heater!#REF!,"AAAAAFLo77E=")</f>
        <v>#REF!</v>
      </c>
      <c r="FW30" t="e">
        <f>AND(Heater!#REF!,"AAAAAFLo77I=")</f>
        <v>#REF!</v>
      </c>
      <c r="FX30" t="e">
        <f>AND(Heater!#REF!,"AAAAAFLo77M=")</f>
        <v>#REF!</v>
      </c>
      <c r="FY30" t="e">
        <f>AND(Heater!#REF!,"AAAAAFLo77Q=")</f>
        <v>#REF!</v>
      </c>
      <c r="FZ30" t="e">
        <f>AND(Heater!#REF!,"AAAAAFLo77U=")</f>
        <v>#REF!</v>
      </c>
      <c r="GA30" t="e">
        <f>AND(Heater!#REF!,"AAAAAFLo77Y=")</f>
        <v>#REF!</v>
      </c>
      <c r="GB30" t="e">
        <f>AND(Heater!#REF!,"AAAAAFLo77c=")</f>
        <v>#REF!</v>
      </c>
      <c r="GC30" t="e">
        <f>AND(Heater!#REF!,"AAAAAFLo77g=")</f>
        <v>#REF!</v>
      </c>
      <c r="GD30" t="e">
        <f>AND(Heater!#REF!,"AAAAAFLo77k=")</f>
        <v>#REF!</v>
      </c>
      <c r="GE30" t="e">
        <f>AND(Heater!#REF!,"AAAAAFLo77o=")</f>
        <v>#REF!</v>
      </c>
      <c r="GF30" t="e">
        <f>IF(Heater!#REF!,"AAAAAFLo77s=",0)</f>
        <v>#REF!</v>
      </c>
      <c r="GG30" t="e">
        <f>AND(Heater!#REF!,"AAAAAFLo77w=")</f>
        <v>#REF!</v>
      </c>
      <c r="GH30" t="e">
        <f>AND(Heater!#REF!,"AAAAAFLo770=")</f>
        <v>#REF!</v>
      </c>
      <c r="GI30" t="e">
        <f>AND(Heater!#REF!,"AAAAAFLo774=")</f>
        <v>#REF!</v>
      </c>
      <c r="GJ30" t="e">
        <f>AND(Heater!#REF!,"AAAAAFLo778=")</f>
        <v>#REF!</v>
      </c>
      <c r="GK30" t="e">
        <f>AND(Heater!#REF!,"AAAAAFLo78A=")</f>
        <v>#REF!</v>
      </c>
      <c r="GL30" t="e">
        <f>AND(Heater!#REF!,"AAAAAFLo78E=")</f>
        <v>#REF!</v>
      </c>
      <c r="GM30" t="e">
        <f>AND(Heater!#REF!,"AAAAAFLo78I=")</f>
        <v>#REF!</v>
      </c>
      <c r="GN30" t="e">
        <f>AND(Heater!#REF!,"AAAAAFLo78M=")</f>
        <v>#REF!</v>
      </c>
      <c r="GO30" t="e">
        <f>AND(Heater!#REF!,"AAAAAFLo78Q=")</f>
        <v>#REF!</v>
      </c>
      <c r="GP30" t="e">
        <f>AND(Heater!#REF!,"AAAAAFLo78U=")</f>
        <v>#REF!</v>
      </c>
      <c r="GQ30" t="e">
        <f>AND(Heater!#REF!,"AAAAAFLo78Y=")</f>
        <v>#REF!</v>
      </c>
      <c r="GR30" t="e">
        <f>AND(Heater!#REF!,"AAAAAFLo78c=")</f>
        <v>#REF!</v>
      </c>
      <c r="GS30" t="e">
        <f>AND(Heater!#REF!,"AAAAAFLo78g=")</f>
        <v>#REF!</v>
      </c>
      <c r="GT30" t="e">
        <f>AND(Heater!#REF!,"AAAAAFLo78k=")</f>
        <v>#REF!</v>
      </c>
      <c r="GU30" t="e">
        <f>AND(Heater!#REF!,"AAAAAFLo78o=")</f>
        <v>#REF!</v>
      </c>
      <c r="GV30" t="e">
        <f>IF(Heater!#REF!,"AAAAAFLo78s=",0)</f>
        <v>#REF!</v>
      </c>
      <c r="GW30" t="e">
        <f>AND(Heater!#REF!,"AAAAAFLo78w=")</f>
        <v>#REF!</v>
      </c>
      <c r="GX30" t="e">
        <f>AND(Heater!#REF!,"AAAAAFLo780=")</f>
        <v>#REF!</v>
      </c>
      <c r="GY30" t="e">
        <f>AND(Heater!#REF!,"AAAAAFLo784=")</f>
        <v>#REF!</v>
      </c>
      <c r="GZ30" t="e">
        <f>AND(Heater!#REF!,"AAAAAFLo788=")</f>
        <v>#REF!</v>
      </c>
      <c r="HA30" t="e">
        <f>AND(Heater!#REF!,"AAAAAFLo79A=")</f>
        <v>#REF!</v>
      </c>
      <c r="HB30" t="e">
        <f>AND(Heater!#REF!,"AAAAAFLo79E=")</f>
        <v>#REF!</v>
      </c>
      <c r="HC30" t="e">
        <f>AND(Heater!#REF!,"AAAAAFLo79I=")</f>
        <v>#REF!</v>
      </c>
      <c r="HD30" t="e">
        <f>AND(Heater!#REF!,"AAAAAFLo79M=")</f>
        <v>#REF!</v>
      </c>
      <c r="HE30" t="e">
        <f>AND(Heater!#REF!,"AAAAAFLo79Q=")</f>
        <v>#REF!</v>
      </c>
      <c r="HF30" t="e">
        <f>AND(Heater!#REF!,"AAAAAFLo79U=")</f>
        <v>#REF!</v>
      </c>
      <c r="HG30" t="e">
        <f>AND(Heater!#REF!,"AAAAAFLo79Y=")</f>
        <v>#REF!</v>
      </c>
      <c r="HH30" t="e">
        <f>AND(Heater!#REF!,"AAAAAFLo79c=")</f>
        <v>#REF!</v>
      </c>
      <c r="HI30" t="e">
        <f>AND(Heater!#REF!,"AAAAAFLo79g=")</f>
        <v>#REF!</v>
      </c>
      <c r="HJ30" t="e">
        <f>AND(Heater!#REF!,"AAAAAFLo79k=")</f>
        <v>#REF!</v>
      </c>
      <c r="HK30" t="e">
        <f>AND(Heater!#REF!,"AAAAAFLo79o=")</f>
        <v>#REF!</v>
      </c>
      <c r="HL30" t="e">
        <f>IF(Heater!#REF!,"AAAAAFLo79s=",0)</f>
        <v>#REF!</v>
      </c>
      <c r="HM30" t="e">
        <f>AND(Heater!#REF!,"AAAAAFLo79w=")</f>
        <v>#REF!</v>
      </c>
      <c r="HN30" t="e">
        <f>AND(Heater!#REF!,"AAAAAFLo790=")</f>
        <v>#REF!</v>
      </c>
      <c r="HO30" t="e">
        <f>AND(Heater!#REF!,"AAAAAFLo794=")</f>
        <v>#REF!</v>
      </c>
      <c r="HP30" t="e">
        <f>AND(Heater!#REF!,"AAAAAFLo798=")</f>
        <v>#REF!</v>
      </c>
      <c r="HQ30" t="e">
        <f>AND(Heater!#REF!,"AAAAAFLo7+A=")</f>
        <v>#REF!</v>
      </c>
      <c r="HR30" t="e">
        <f>AND(Heater!#REF!,"AAAAAFLo7+E=")</f>
        <v>#REF!</v>
      </c>
      <c r="HS30" t="e">
        <f>AND(Heater!#REF!,"AAAAAFLo7+I=")</f>
        <v>#REF!</v>
      </c>
      <c r="HT30" t="e">
        <f>AND(Heater!#REF!,"AAAAAFLo7+M=")</f>
        <v>#REF!</v>
      </c>
      <c r="HU30" t="e">
        <f>AND(Heater!#REF!,"AAAAAFLo7+Q=")</f>
        <v>#REF!</v>
      </c>
      <c r="HV30" t="e">
        <f>AND(Heater!#REF!,"AAAAAFLo7+U=")</f>
        <v>#REF!</v>
      </c>
      <c r="HW30" t="e">
        <f>AND(Heater!#REF!,"AAAAAFLo7+Y=")</f>
        <v>#REF!</v>
      </c>
      <c r="HX30" t="e">
        <f>AND(Heater!#REF!,"AAAAAFLo7+c=")</f>
        <v>#REF!</v>
      </c>
      <c r="HY30" t="e">
        <f>AND(Heater!#REF!,"AAAAAFLo7+g=")</f>
        <v>#REF!</v>
      </c>
      <c r="HZ30" t="e">
        <f>AND(Heater!#REF!,"AAAAAFLo7+k=")</f>
        <v>#REF!</v>
      </c>
      <c r="IA30" t="e">
        <f>AND(Heater!#REF!,"AAAAAFLo7+o=")</f>
        <v>#REF!</v>
      </c>
      <c r="IB30" t="e">
        <f>IF(Heater!#REF!,"AAAAAFLo7+s=",0)</f>
        <v>#REF!</v>
      </c>
      <c r="IC30" t="e">
        <f>AND(Heater!#REF!,"AAAAAFLo7+w=")</f>
        <v>#REF!</v>
      </c>
      <c r="ID30" t="e">
        <f>AND(Heater!#REF!,"AAAAAFLo7+0=")</f>
        <v>#REF!</v>
      </c>
      <c r="IE30" t="e">
        <f>AND(Heater!#REF!,"AAAAAFLo7+4=")</f>
        <v>#REF!</v>
      </c>
      <c r="IF30" t="e">
        <f>AND(Heater!#REF!,"AAAAAFLo7+8=")</f>
        <v>#REF!</v>
      </c>
      <c r="IG30" t="e">
        <f>AND(Heater!#REF!,"AAAAAFLo7/A=")</f>
        <v>#REF!</v>
      </c>
      <c r="IH30" t="e">
        <f>AND(Heater!#REF!,"AAAAAFLo7/E=")</f>
        <v>#REF!</v>
      </c>
      <c r="II30" t="e">
        <f>AND(Heater!#REF!,"AAAAAFLo7/I=")</f>
        <v>#REF!</v>
      </c>
      <c r="IJ30" t="e">
        <f>AND(Heater!#REF!,"AAAAAFLo7/M=")</f>
        <v>#REF!</v>
      </c>
      <c r="IK30" t="e">
        <f>AND(Heater!#REF!,"AAAAAFLo7/Q=")</f>
        <v>#REF!</v>
      </c>
      <c r="IL30" t="e">
        <f>AND(Heater!#REF!,"AAAAAFLo7/U=")</f>
        <v>#REF!</v>
      </c>
      <c r="IM30" t="e">
        <f>AND(Heater!#REF!,"AAAAAFLo7/Y=")</f>
        <v>#REF!</v>
      </c>
      <c r="IN30" t="e">
        <f>AND(Heater!#REF!,"AAAAAFLo7/c=")</f>
        <v>#REF!</v>
      </c>
      <c r="IO30" t="e">
        <f>AND(Heater!#REF!,"AAAAAFLo7/g=")</f>
        <v>#REF!</v>
      </c>
      <c r="IP30" t="e">
        <f>AND(Heater!#REF!,"AAAAAFLo7/k=")</f>
        <v>#REF!</v>
      </c>
      <c r="IQ30" t="e">
        <f>AND(Heater!#REF!,"AAAAAFLo7/o=")</f>
        <v>#REF!</v>
      </c>
      <c r="IR30" t="e">
        <f>IF(Heater!#REF!,"AAAAAFLo7/s=",0)</f>
        <v>#REF!</v>
      </c>
      <c r="IS30" t="e">
        <f>AND(Heater!#REF!,"AAAAAFLo7/w=")</f>
        <v>#REF!</v>
      </c>
      <c r="IT30" t="e">
        <f>AND(Heater!#REF!,"AAAAAFLo7/0=")</f>
        <v>#REF!</v>
      </c>
      <c r="IU30" t="e">
        <f>AND(Heater!#REF!,"AAAAAFLo7/4=")</f>
        <v>#REF!</v>
      </c>
      <c r="IV30" t="e">
        <f>AND(Heater!#REF!,"AAAAAFLo7/8=")</f>
        <v>#REF!</v>
      </c>
    </row>
    <row r="31" spans="1:256">
      <c r="A31" t="e">
        <f>AND(Heater!#REF!,"AAAAAD+/vgA=")</f>
        <v>#REF!</v>
      </c>
      <c r="B31" t="e">
        <f>AND(Heater!#REF!,"AAAAAD+/vgE=")</f>
        <v>#REF!</v>
      </c>
      <c r="C31" t="e">
        <f>AND(Heater!#REF!,"AAAAAD+/vgI=")</f>
        <v>#REF!</v>
      </c>
      <c r="D31" t="e">
        <f>AND(Heater!#REF!,"AAAAAD+/vgM=")</f>
        <v>#REF!</v>
      </c>
      <c r="E31" t="e">
        <f>AND(Heater!#REF!,"AAAAAD+/vgQ=")</f>
        <v>#REF!</v>
      </c>
      <c r="F31" t="e">
        <f>AND(Heater!#REF!,"AAAAAD+/vgU=")</f>
        <v>#REF!</v>
      </c>
      <c r="G31" t="e">
        <f>AND(Heater!#REF!,"AAAAAD+/vgY=")</f>
        <v>#REF!</v>
      </c>
      <c r="H31" t="e">
        <f>AND(Heater!#REF!,"AAAAAD+/vgc=")</f>
        <v>#REF!</v>
      </c>
      <c r="I31" t="e">
        <f>AND(Heater!#REF!,"AAAAAD+/vgg=")</f>
        <v>#REF!</v>
      </c>
      <c r="J31" t="e">
        <f>AND(Heater!#REF!,"AAAAAD+/vgk=")</f>
        <v>#REF!</v>
      </c>
      <c r="K31" t="e">
        <f>AND(Heater!#REF!,"AAAAAD+/vgo=")</f>
        <v>#REF!</v>
      </c>
      <c r="L31" t="e">
        <f>IF(Heater!#REF!,"AAAAAD+/vgs=",0)</f>
        <v>#REF!</v>
      </c>
      <c r="M31" t="e">
        <f>AND(Heater!#REF!,"AAAAAD+/vgw=")</f>
        <v>#REF!</v>
      </c>
      <c r="N31" t="e">
        <f>AND(Heater!#REF!,"AAAAAD+/vg0=")</f>
        <v>#REF!</v>
      </c>
      <c r="O31" t="e">
        <f>AND(Heater!#REF!,"AAAAAD+/vg4=")</f>
        <v>#REF!</v>
      </c>
      <c r="P31" t="e">
        <f>AND(Heater!#REF!,"AAAAAD+/vg8=")</f>
        <v>#REF!</v>
      </c>
      <c r="Q31" t="e">
        <f>AND(Heater!#REF!,"AAAAAD+/vhA=")</f>
        <v>#REF!</v>
      </c>
      <c r="R31" t="e">
        <f>AND(Heater!#REF!,"AAAAAD+/vhE=")</f>
        <v>#REF!</v>
      </c>
      <c r="S31" t="e">
        <f>AND(Heater!#REF!,"AAAAAD+/vhI=")</f>
        <v>#REF!</v>
      </c>
      <c r="T31" t="e">
        <f>AND(Heater!#REF!,"AAAAAD+/vhM=")</f>
        <v>#REF!</v>
      </c>
      <c r="U31" t="e">
        <f>AND(Heater!#REF!,"AAAAAD+/vhQ=")</f>
        <v>#REF!</v>
      </c>
      <c r="V31" t="e">
        <f>AND(Heater!#REF!,"AAAAAD+/vhU=")</f>
        <v>#REF!</v>
      </c>
      <c r="W31" t="e">
        <f>AND(Heater!#REF!,"AAAAAD+/vhY=")</f>
        <v>#REF!</v>
      </c>
      <c r="X31" t="e">
        <f>AND(Heater!#REF!,"AAAAAD+/vhc=")</f>
        <v>#REF!</v>
      </c>
      <c r="Y31" t="e">
        <f>AND(Heater!#REF!,"AAAAAD+/vhg=")</f>
        <v>#REF!</v>
      </c>
      <c r="Z31" t="e">
        <f>AND(Heater!#REF!,"AAAAAD+/vhk=")</f>
        <v>#REF!</v>
      </c>
      <c r="AA31" t="e">
        <f>AND(Heater!#REF!,"AAAAAD+/vho=")</f>
        <v>#REF!</v>
      </c>
      <c r="AB31" t="e">
        <f>IF(Heater!#REF!,"AAAAAD+/vhs=",0)</f>
        <v>#REF!</v>
      </c>
      <c r="AC31" t="e">
        <f>AND(Heater!#REF!,"AAAAAD+/vhw=")</f>
        <v>#REF!</v>
      </c>
      <c r="AD31" t="e">
        <f>AND(Heater!#REF!,"AAAAAD+/vh0=")</f>
        <v>#REF!</v>
      </c>
      <c r="AE31" t="e">
        <f>AND(Heater!#REF!,"AAAAAD+/vh4=")</f>
        <v>#REF!</v>
      </c>
      <c r="AF31" t="e">
        <f>AND(Heater!#REF!,"AAAAAD+/vh8=")</f>
        <v>#REF!</v>
      </c>
      <c r="AG31" t="e">
        <f>AND(Heater!#REF!,"AAAAAD+/viA=")</f>
        <v>#REF!</v>
      </c>
      <c r="AH31" t="e">
        <f>AND(Heater!#REF!,"AAAAAD+/viE=")</f>
        <v>#REF!</v>
      </c>
      <c r="AI31" t="e">
        <f>AND(Heater!#REF!,"AAAAAD+/viI=")</f>
        <v>#REF!</v>
      </c>
      <c r="AJ31" t="e">
        <f>AND(Heater!#REF!,"AAAAAD+/viM=")</f>
        <v>#REF!</v>
      </c>
      <c r="AK31" t="e">
        <f>AND(Heater!#REF!,"AAAAAD+/viQ=")</f>
        <v>#REF!</v>
      </c>
      <c r="AL31" t="e">
        <f>AND(Heater!#REF!,"AAAAAD+/viU=")</f>
        <v>#REF!</v>
      </c>
      <c r="AM31" t="e">
        <f>AND(Heater!#REF!,"AAAAAD+/viY=")</f>
        <v>#REF!</v>
      </c>
      <c r="AN31" t="e">
        <f>AND(Heater!#REF!,"AAAAAD+/vic=")</f>
        <v>#REF!</v>
      </c>
      <c r="AO31" t="e">
        <f>AND(Heater!#REF!,"AAAAAD+/vig=")</f>
        <v>#REF!</v>
      </c>
      <c r="AP31" t="e">
        <f>AND(Heater!#REF!,"AAAAAD+/vik=")</f>
        <v>#REF!</v>
      </c>
      <c r="AQ31" t="e">
        <f>AND(Heater!#REF!,"AAAAAD+/vio=")</f>
        <v>#REF!</v>
      </c>
      <c r="AR31" t="e">
        <f>IF(Heater!#REF!,"AAAAAD+/vis=",0)</f>
        <v>#REF!</v>
      </c>
      <c r="AS31" t="e">
        <f>AND(Heater!#REF!,"AAAAAD+/viw=")</f>
        <v>#REF!</v>
      </c>
      <c r="AT31" t="e">
        <f>AND(Heater!#REF!,"AAAAAD+/vi0=")</f>
        <v>#REF!</v>
      </c>
      <c r="AU31" t="e">
        <f>AND(Heater!#REF!,"AAAAAD+/vi4=")</f>
        <v>#REF!</v>
      </c>
      <c r="AV31" t="e">
        <f>AND(Heater!#REF!,"AAAAAD+/vi8=")</f>
        <v>#REF!</v>
      </c>
      <c r="AW31" t="e">
        <f>AND(Heater!#REF!,"AAAAAD+/vjA=")</f>
        <v>#REF!</v>
      </c>
      <c r="AX31" t="e">
        <f>AND(Heater!#REF!,"AAAAAD+/vjE=")</f>
        <v>#REF!</v>
      </c>
      <c r="AY31" t="e">
        <f>AND(Heater!#REF!,"AAAAAD+/vjI=")</f>
        <v>#REF!</v>
      </c>
      <c r="AZ31" t="e">
        <f>AND(Heater!#REF!,"AAAAAD+/vjM=")</f>
        <v>#REF!</v>
      </c>
      <c r="BA31" t="e">
        <f>AND(Heater!#REF!,"AAAAAD+/vjQ=")</f>
        <v>#REF!</v>
      </c>
      <c r="BB31" t="e">
        <f>AND(Heater!#REF!,"AAAAAD+/vjU=")</f>
        <v>#REF!</v>
      </c>
      <c r="BC31" t="e">
        <f>AND(Heater!#REF!,"AAAAAD+/vjY=")</f>
        <v>#REF!</v>
      </c>
      <c r="BD31" t="e">
        <f>AND(Heater!#REF!,"AAAAAD+/vjc=")</f>
        <v>#REF!</v>
      </c>
      <c r="BE31" t="e">
        <f>AND(Heater!#REF!,"AAAAAD+/vjg=")</f>
        <v>#REF!</v>
      </c>
      <c r="BF31" t="e">
        <f>AND(Heater!#REF!,"AAAAAD+/vjk=")</f>
        <v>#REF!</v>
      </c>
      <c r="BG31" t="e">
        <f>AND(Heater!#REF!,"AAAAAD+/vjo=")</f>
        <v>#REF!</v>
      </c>
      <c r="BH31" t="e">
        <f>IF(Heater!#REF!,"AAAAAD+/vjs=",0)</f>
        <v>#REF!</v>
      </c>
      <c r="BI31" t="e">
        <f>AND(Heater!#REF!,"AAAAAD+/vjw=")</f>
        <v>#REF!</v>
      </c>
      <c r="BJ31" t="e">
        <f>AND(Heater!#REF!,"AAAAAD+/vj0=")</f>
        <v>#REF!</v>
      </c>
      <c r="BK31" t="e">
        <f>AND(Heater!#REF!,"AAAAAD+/vj4=")</f>
        <v>#REF!</v>
      </c>
      <c r="BL31" t="e">
        <f>AND(Heater!#REF!,"AAAAAD+/vj8=")</f>
        <v>#REF!</v>
      </c>
      <c r="BM31" t="e">
        <f>AND(Heater!#REF!,"AAAAAD+/vkA=")</f>
        <v>#REF!</v>
      </c>
      <c r="BN31" t="e">
        <f>AND(Heater!#REF!,"AAAAAD+/vkE=")</f>
        <v>#REF!</v>
      </c>
      <c r="BO31" t="e">
        <f>AND(Heater!#REF!,"AAAAAD+/vkI=")</f>
        <v>#REF!</v>
      </c>
      <c r="BP31" t="e">
        <f>AND(Heater!#REF!,"AAAAAD+/vkM=")</f>
        <v>#REF!</v>
      </c>
      <c r="BQ31" t="e">
        <f>AND(Heater!#REF!,"AAAAAD+/vkQ=")</f>
        <v>#REF!</v>
      </c>
      <c r="BR31" t="e">
        <f>AND(Heater!#REF!,"AAAAAD+/vkU=")</f>
        <v>#REF!</v>
      </c>
      <c r="BS31" t="e">
        <f>AND(Heater!#REF!,"AAAAAD+/vkY=")</f>
        <v>#REF!</v>
      </c>
      <c r="BT31" t="e">
        <f>AND(Heater!#REF!,"AAAAAD+/vkc=")</f>
        <v>#REF!</v>
      </c>
      <c r="BU31" t="e">
        <f>AND(Heater!#REF!,"AAAAAD+/vkg=")</f>
        <v>#REF!</v>
      </c>
      <c r="BV31" t="e">
        <f>AND(Heater!#REF!,"AAAAAD+/vkk=")</f>
        <v>#REF!</v>
      </c>
      <c r="BW31" t="e">
        <f>AND(Heater!#REF!,"AAAAAD+/vko=")</f>
        <v>#REF!</v>
      </c>
      <c r="BX31" t="e">
        <f>IF(Heater!#REF!,"AAAAAD+/vks=",0)</f>
        <v>#REF!</v>
      </c>
      <c r="BY31" t="e">
        <f>AND(Heater!#REF!,"AAAAAD+/vkw=")</f>
        <v>#REF!</v>
      </c>
      <c r="BZ31" t="e">
        <f>AND(Heater!#REF!,"AAAAAD+/vk0=")</f>
        <v>#REF!</v>
      </c>
      <c r="CA31" t="e">
        <f>AND(Heater!#REF!,"AAAAAD+/vk4=")</f>
        <v>#REF!</v>
      </c>
      <c r="CB31" t="e">
        <f>AND(Heater!#REF!,"AAAAAD+/vk8=")</f>
        <v>#REF!</v>
      </c>
      <c r="CC31" t="e">
        <f>AND(Heater!#REF!,"AAAAAD+/vlA=")</f>
        <v>#REF!</v>
      </c>
      <c r="CD31" t="e">
        <f>AND(Heater!#REF!,"AAAAAD+/vlE=")</f>
        <v>#REF!</v>
      </c>
      <c r="CE31" t="e">
        <f>AND(Heater!#REF!,"AAAAAD+/vlI=")</f>
        <v>#REF!</v>
      </c>
      <c r="CF31" t="e">
        <f>AND(Heater!#REF!,"AAAAAD+/vlM=")</f>
        <v>#REF!</v>
      </c>
      <c r="CG31" t="e">
        <f>AND(Heater!#REF!,"AAAAAD+/vlQ=")</f>
        <v>#REF!</v>
      </c>
      <c r="CH31" t="e">
        <f>AND(Heater!#REF!,"AAAAAD+/vlU=")</f>
        <v>#REF!</v>
      </c>
      <c r="CI31" t="e">
        <f>AND(Heater!#REF!,"AAAAAD+/vlY=")</f>
        <v>#REF!</v>
      </c>
      <c r="CJ31" t="e">
        <f>AND(Heater!#REF!,"AAAAAD+/vlc=")</f>
        <v>#REF!</v>
      </c>
      <c r="CK31" t="e">
        <f>AND(Heater!#REF!,"AAAAAD+/vlg=")</f>
        <v>#REF!</v>
      </c>
      <c r="CL31" t="e">
        <f>AND(Heater!#REF!,"AAAAAD+/vlk=")</f>
        <v>#REF!</v>
      </c>
      <c r="CM31" t="e">
        <f>AND(Heater!#REF!,"AAAAAD+/vlo=")</f>
        <v>#REF!</v>
      </c>
      <c r="CN31" t="e">
        <f>IF(Heater!#REF!,"AAAAAD+/vls=",0)</f>
        <v>#REF!</v>
      </c>
      <c r="CO31" t="e">
        <f>AND(Heater!#REF!,"AAAAAD+/vlw=")</f>
        <v>#REF!</v>
      </c>
      <c r="CP31" t="e">
        <f>AND(Heater!#REF!,"AAAAAD+/vl0=")</f>
        <v>#REF!</v>
      </c>
      <c r="CQ31" t="e">
        <f>AND(Heater!#REF!,"AAAAAD+/vl4=")</f>
        <v>#REF!</v>
      </c>
      <c r="CR31" t="e">
        <f>AND(Heater!#REF!,"AAAAAD+/vl8=")</f>
        <v>#REF!</v>
      </c>
      <c r="CS31" t="e">
        <f>AND(Heater!#REF!,"AAAAAD+/vmA=")</f>
        <v>#REF!</v>
      </c>
      <c r="CT31" t="e">
        <f>AND(Heater!#REF!,"AAAAAD+/vmE=")</f>
        <v>#REF!</v>
      </c>
      <c r="CU31" t="e">
        <f>AND(Heater!#REF!,"AAAAAD+/vmI=")</f>
        <v>#REF!</v>
      </c>
      <c r="CV31" t="e">
        <f>AND(Heater!#REF!,"AAAAAD+/vmM=")</f>
        <v>#REF!</v>
      </c>
      <c r="CW31" t="e">
        <f>AND(Heater!#REF!,"AAAAAD+/vmQ=")</f>
        <v>#REF!</v>
      </c>
      <c r="CX31" t="e">
        <f>AND(Heater!#REF!,"AAAAAD+/vmU=")</f>
        <v>#REF!</v>
      </c>
      <c r="CY31" t="e">
        <f>AND(Heater!#REF!,"AAAAAD+/vmY=")</f>
        <v>#REF!</v>
      </c>
      <c r="CZ31" t="e">
        <f>AND(Heater!#REF!,"AAAAAD+/vmc=")</f>
        <v>#REF!</v>
      </c>
      <c r="DA31" t="e">
        <f>AND(Heater!#REF!,"AAAAAD+/vmg=")</f>
        <v>#REF!</v>
      </c>
      <c r="DB31" t="e">
        <f>AND(Heater!#REF!,"AAAAAD+/vmk=")</f>
        <v>#REF!</v>
      </c>
      <c r="DC31" t="e">
        <f>AND(Heater!#REF!,"AAAAAD+/vmo=")</f>
        <v>#REF!</v>
      </c>
      <c r="DD31" t="e">
        <f>IF(Heater!#REF!,"AAAAAD+/vms=",0)</f>
        <v>#REF!</v>
      </c>
      <c r="DE31" t="e">
        <f>AND(Heater!#REF!,"AAAAAD+/vmw=")</f>
        <v>#REF!</v>
      </c>
      <c r="DF31" t="e">
        <f>AND(Heater!#REF!,"AAAAAD+/vm0=")</f>
        <v>#REF!</v>
      </c>
      <c r="DG31" t="e">
        <f>AND(Heater!#REF!,"AAAAAD+/vm4=")</f>
        <v>#REF!</v>
      </c>
      <c r="DH31" t="e">
        <f>AND(Heater!#REF!,"AAAAAD+/vm8=")</f>
        <v>#REF!</v>
      </c>
      <c r="DI31" t="e">
        <f>AND(Heater!#REF!,"AAAAAD+/vnA=")</f>
        <v>#REF!</v>
      </c>
      <c r="DJ31" t="e">
        <f>AND(Heater!#REF!,"AAAAAD+/vnE=")</f>
        <v>#REF!</v>
      </c>
      <c r="DK31" t="e">
        <f>AND(Heater!#REF!,"AAAAAD+/vnI=")</f>
        <v>#REF!</v>
      </c>
      <c r="DL31" t="e">
        <f>AND(Heater!#REF!,"AAAAAD+/vnM=")</f>
        <v>#REF!</v>
      </c>
      <c r="DM31" t="e">
        <f>AND(Heater!#REF!,"AAAAAD+/vnQ=")</f>
        <v>#REF!</v>
      </c>
      <c r="DN31" t="e">
        <f>AND(Heater!#REF!,"AAAAAD+/vnU=")</f>
        <v>#REF!</v>
      </c>
      <c r="DO31" t="e">
        <f>AND(Heater!#REF!,"AAAAAD+/vnY=")</f>
        <v>#REF!</v>
      </c>
      <c r="DP31" t="e">
        <f>AND(Heater!#REF!,"AAAAAD+/vnc=")</f>
        <v>#REF!</v>
      </c>
      <c r="DQ31" t="e">
        <f>AND(Heater!#REF!,"AAAAAD+/vng=")</f>
        <v>#REF!</v>
      </c>
      <c r="DR31" t="e">
        <f>AND(Heater!#REF!,"AAAAAD+/vnk=")</f>
        <v>#REF!</v>
      </c>
      <c r="DS31" t="e">
        <f>AND(Heater!#REF!,"AAAAAD+/vno=")</f>
        <v>#REF!</v>
      </c>
      <c r="DT31" t="e">
        <f>IF(Heater!#REF!,"AAAAAD+/vns=",0)</f>
        <v>#REF!</v>
      </c>
      <c r="DU31" t="e">
        <f>AND(Heater!#REF!,"AAAAAD+/vnw=")</f>
        <v>#REF!</v>
      </c>
      <c r="DV31" t="e">
        <f>AND(Heater!#REF!,"AAAAAD+/vn0=")</f>
        <v>#REF!</v>
      </c>
      <c r="DW31" t="e">
        <f>AND(Heater!#REF!,"AAAAAD+/vn4=")</f>
        <v>#REF!</v>
      </c>
      <c r="DX31" t="e">
        <f>AND(Heater!#REF!,"AAAAAD+/vn8=")</f>
        <v>#REF!</v>
      </c>
      <c r="DY31" t="e">
        <f>AND(Heater!#REF!,"AAAAAD+/voA=")</f>
        <v>#REF!</v>
      </c>
      <c r="DZ31" t="e">
        <f>AND(Heater!#REF!,"AAAAAD+/voE=")</f>
        <v>#REF!</v>
      </c>
      <c r="EA31" t="e">
        <f>AND(Heater!#REF!,"AAAAAD+/voI=")</f>
        <v>#REF!</v>
      </c>
      <c r="EB31" t="e">
        <f>AND(Heater!#REF!,"AAAAAD+/voM=")</f>
        <v>#REF!</v>
      </c>
      <c r="EC31" t="e">
        <f>AND(Heater!#REF!,"AAAAAD+/voQ=")</f>
        <v>#REF!</v>
      </c>
      <c r="ED31" t="e">
        <f>AND(Heater!#REF!,"AAAAAD+/voU=")</f>
        <v>#REF!</v>
      </c>
      <c r="EE31" t="e">
        <f>AND(Heater!#REF!,"AAAAAD+/voY=")</f>
        <v>#REF!</v>
      </c>
      <c r="EF31" t="e">
        <f>AND(Heater!#REF!,"AAAAAD+/voc=")</f>
        <v>#REF!</v>
      </c>
      <c r="EG31" t="e">
        <f>AND(Heater!#REF!,"AAAAAD+/vog=")</f>
        <v>#REF!</v>
      </c>
      <c r="EH31" t="e">
        <f>AND(Heater!#REF!,"AAAAAD+/vok=")</f>
        <v>#REF!</v>
      </c>
      <c r="EI31" t="e">
        <f>AND(Heater!#REF!,"AAAAAD+/voo=")</f>
        <v>#REF!</v>
      </c>
      <c r="EJ31" t="e">
        <f>IF(Heater!#REF!,"AAAAAD+/vos=",0)</f>
        <v>#REF!</v>
      </c>
      <c r="EK31" t="e">
        <f>AND(Heater!#REF!,"AAAAAD+/vow=")</f>
        <v>#REF!</v>
      </c>
      <c r="EL31" t="e">
        <f>AND(Heater!#REF!,"AAAAAD+/vo0=")</f>
        <v>#REF!</v>
      </c>
      <c r="EM31" t="e">
        <f>AND(Heater!#REF!,"AAAAAD+/vo4=")</f>
        <v>#REF!</v>
      </c>
      <c r="EN31" t="e">
        <f>AND(Heater!#REF!,"AAAAAD+/vo8=")</f>
        <v>#REF!</v>
      </c>
      <c r="EO31" t="e">
        <f>AND(Heater!#REF!,"AAAAAD+/vpA=")</f>
        <v>#REF!</v>
      </c>
      <c r="EP31" t="e">
        <f>AND(Heater!#REF!,"AAAAAD+/vpE=")</f>
        <v>#REF!</v>
      </c>
      <c r="EQ31" t="e">
        <f>AND(Heater!#REF!,"AAAAAD+/vpI=")</f>
        <v>#REF!</v>
      </c>
      <c r="ER31" t="e">
        <f>AND(Heater!#REF!,"AAAAAD+/vpM=")</f>
        <v>#REF!</v>
      </c>
      <c r="ES31" t="e">
        <f>AND(Heater!#REF!,"AAAAAD+/vpQ=")</f>
        <v>#REF!</v>
      </c>
      <c r="ET31" t="e">
        <f>AND(Heater!#REF!,"AAAAAD+/vpU=")</f>
        <v>#REF!</v>
      </c>
      <c r="EU31" t="e">
        <f>AND(Heater!#REF!,"AAAAAD+/vpY=")</f>
        <v>#REF!</v>
      </c>
      <c r="EV31" t="e">
        <f>AND(Heater!#REF!,"AAAAAD+/vpc=")</f>
        <v>#REF!</v>
      </c>
      <c r="EW31" t="e">
        <f>AND(Heater!#REF!,"AAAAAD+/vpg=")</f>
        <v>#REF!</v>
      </c>
      <c r="EX31" t="e">
        <f>AND(Heater!#REF!,"AAAAAD+/vpk=")</f>
        <v>#REF!</v>
      </c>
      <c r="EY31" t="e">
        <f>AND(Heater!#REF!,"AAAAAD+/vpo=")</f>
        <v>#REF!</v>
      </c>
      <c r="EZ31" t="e">
        <f>IF(Heater!#REF!,"AAAAAD+/vps=",0)</f>
        <v>#REF!</v>
      </c>
      <c r="FA31" t="e">
        <f>AND(Heater!#REF!,"AAAAAD+/vpw=")</f>
        <v>#REF!</v>
      </c>
      <c r="FB31" t="e">
        <f>AND(Heater!#REF!,"AAAAAD+/vp0=")</f>
        <v>#REF!</v>
      </c>
      <c r="FC31" t="e">
        <f>AND(Heater!#REF!,"AAAAAD+/vp4=")</f>
        <v>#REF!</v>
      </c>
      <c r="FD31" t="e">
        <f>AND(Heater!#REF!,"AAAAAD+/vp8=")</f>
        <v>#REF!</v>
      </c>
      <c r="FE31" t="e">
        <f>AND(Heater!#REF!,"AAAAAD+/vqA=")</f>
        <v>#REF!</v>
      </c>
      <c r="FF31" t="e">
        <f>AND(Heater!#REF!,"AAAAAD+/vqE=")</f>
        <v>#REF!</v>
      </c>
      <c r="FG31" t="e">
        <f>AND(Heater!#REF!,"AAAAAD+/vqI=")</f>
        <v>#REF!</v>
      </c>
      <c r="FH31" t="e">
        <f>AND(Heater!#REF!,"AAAAAD+/vqM=")</f>
        <v>#REF!</v>
      </c>
      <c r="FI31" t="e">
        <f>AND(Heater!#REF!,"AAAAAD+/vqQ=")</f>
        <v>#REF!</v>
      </c>
      <c r="FJ31" t="e">
        <f>AND(Heater!#REF!,"AAAAAD+/vqU=")</f>
        <v>#REF!</v>
      </c>
      <c r="FK31" t="e">
        <f>AND(Heater!#REF!,"AAAAAD+/vqY=")</f>
        <v>#REF!</v>
      </c>
      <c r="FL31" t="e">
        <f>AND(Heater!#REF!,"AAAAAD+/vqc=")</f>
        <v>#REF!</v>
      </c>
      <c r="FM31" t="e">
        <f>AND(Heater!#REF!,"AAAAAD+/vqg=")</f>
        <v>#REF!</v>
      </c>
      <c r="FN31" t="e">
        <f>AND(Heater!#REF!,"AAAAAD+/vqk=")</f>
        <v>#REF!</v>
      </c>
      <c r="FO31" t="e">
        <f>AND(Heater!#REF!,"AAAAAD+/vqo=")</f>
        <v>#REF!</v>
      </c>
      <c r="FP31" t="e">
        <f>IF(Heater!#REF!,"AAAAAD+/vqs=",0)</f>
        <v>#REF!</v>
      </c>
      <c r="FQ31" t="e">
        <f>AND(Heater!#REF!,"AAAAAD+/vqw=")</f>
        <v>#REF!</v>
      </c>
      <c r="FR31" t="e">
        <f>AND(Heater!#REF!,"AAAAAD+/vq0=")</f>
        <v>#REF!</v>
      </c>
      <c r="FS31" t="e">
        <f>AND(Heater!#REF!,"AAAAAD+/vq4=")</f>
        <v>#REF!</v>
      </c>
      <c r="FT31" t="e">
        <f>AND(Heater!#REF!,"AAAAAD+/vq8=")</f>
        <v>#REF!</v>
      </c>
      <c r="FU31" t="e">
        <f>AND(Heater!#REF!,"AAAAAD+/vrA=")</f>
        <v>#REF!</v>
      </c>
      <c r="FV31" t="e">
        <f>AND(Heater!#REF!,"AAAAAD+/vrE=")</f>
        <v>#REF!</v>
      </c>
      <c r="FW31" t="e">
        <f>AND(Heater!#REF!,"AAAAAD+/vrI=")</f>
        <v>#REF!</v>
      </c>
      <c r="FX31" t="e">
        <f>AND(Heater!#REF!,"AAAAAD+/vrM=")</f>
        <v>#REF!</v>
      </c>
      <c r="FY31" t="e">
        <f>AND(Heater!#REF!,"AAAAAD+/vrQ=")</f>
        <v>#REF!</v>
      </c>
      <c r="FZ31" t="e">
        <f>AND(Heater!#REF!,"AAAAAD+/vrU=")</f>
        <v>#REF!</v>
      </c>
      <c r="GA31" t="e">
        <f>AND(Heater!#REF!,"AAAAAD+/vrY=")</f>
        <v>#REF!</v>
      </c>
      <c r="GB31" t="e">
        <f>AND(Heater!#REF!,"AAAAAD+/vrc=")</f>
        <v>#REF!</v>
      </c>
      <c r="GC31" t="e">
        <f>AND(Heater!#REF!,"AAAAAD+/vrg=")</f>
        <v>#REF!</v>
      </c>
      <c r="GD31" t="e">
        <f>AND(Heater!#REF!,"AAAAAD+/vrk=")</f>
        <v>#REF!</v>
      </c>
      <c r="GE31" t="e">
        <f>AND(Heater!#REF!,"AAAAAD+/vro=")</f>
        <v>#REF!</v>
      </c>
      <c r="GF31" t="e">
        <f>IF(Heater!#REF!,"AAAAAD+/vrs=",0)</f>
        <v>#REF!</v>
      </c>
      <c r="GG31" t="e">
        <f>AND(Heater!#REF!,"AAAAAD+/vrw=")</f>
        <v>#REF!</v>
      </c>
      <c r="GH31" t="e">
        <f>AND(Heater!#REF!,"AAAAAD+/vr0=")</f>
        <v>#REF!</v>
      </c>
      <c r="GI31" t="e">
        <f>AND(Heater!#REF!,"AAAAAD+/vr4=")</f>
        <v>#REF!</v>
      </c>
      <c r="GJ31" t="e">
        <f>AND(Heater!#REF!,"AAAAAD+/vr8=")</f>
        <v>#REF!</v>
      </c>
      <c r="GK31" t="e">
        <f>AND(Heater!#REF!,"AAAAAD+/vsA=")</f>
        <v>#REF!</v>
      </c>
      <c r="GL31" t="e">
        <f>AND(Heater!#REF!,"AAAAAD+/vsE=")</f>
        <v>#REF!</v>
      </c>
      <c r="GM31" t="e">
        <f>AND(Heater!#REF!,"AAAAAD+/vsI=")</f>
        <v>#REF!</v>
      </c>
      <c r="GN31" t="e">
        <f>AND(Heater!#REF!,"AAAAAD+/vsM=")</f>
        <v>#REF!</v>
      </c>
      <c r="GO31" t="e">
        <f>AND(Heater!#REF!,"AAAAAD+/vsQ=")</f>
        <v>#REF!</v>
      </c>
      <c r="GP31" t="e">
        <f>AND(Heater!#REF!,"AAAAAD+/vsU=")</f>
        <v>#REF!</v>
      </c>
      <c r="GQ31" t="e">
        <f>AND(Heater!#REF!,"AAAAAD+/vsY=")</f>
        <v>#REF!</v>
      </c>
      <c r="GR31" t="e">
        <f>AND(Heater!#REF!,"AAAAAD+/vsc=")</f>
        <v>#REF!</v>
      </c>
      <c r="GS31" t="e">
        <f>AND(Heater!#REF!,"AAAAAD+/vsg=")</f>
        <v>#REF!</v>
      </c>
      <c r="GT31" t="e">
        <f>AND(Heater!#REF!,"AAAAAD+/vsk=")</f>
        <v>#REF!</v>
      </c>
      <c r="GU31" t="e">
        <f>AND(Heater!#REF!,"AAAAAD+/vso=")</f>
        <v>#REF!</v>
      </c>
      <c r="GV31" t="e">
        <f>IF(Heater!#REF!,"AAAAAD+/vss=",0)</f>
        <v>#REF!</v>
      </c>
      <c r="GW31" t="e">
        <f>AND(Heater!#REF!,"AAAAAD+/vsw=")</f>
        <v>#REF!</v>
      </c>
      <c r="GX31" t="e">
        <f>AND(Heater!#REF!,"AAAAAD+/vs0=")</f>
        <v>#REF!</v>
      </c>
      <c r="GY31" t="e">
        <f>AND(Heater!#REF!,"AAAAAD+/vs4=")</f>
        <v>#REF!</v>
      </c>
      <c r="GZ31" t="e">
        <f>AND(Heater!#REF!,"AAAAAD+/vs8=")</f>
        <v>#REF!</v>
      </c>
      <c r="HA31" t="e">
        <f>AND(Heater!#REF!,"AAAAAD+/vtA=")</f>
        <v>#REF!</v>
      </c>
      <c r="HB31" t="e">
        <f>AND(Heater!#REF!,"AAAAAD+/vtE=")</f>
        <v>#REF!</v>
      </c>
      <c r="HC31" t="e">
        <f>AND(Heater!#REF!,"AAAAAD+/vtI=")</f>
        <v>#REF!</v>
      </c>
      <c r="HD31" t="e">
        <f>AND(Heater!#REF!,"AAAAAD+/vtM=")</f>
        <v>#REF!</v>
      </c>
      <c r="HE31" t="e">
        <f>AND(Heater!#REF!,"AAAAAD+/vtQ=")</f>
        <v>#REF!</v>
      </c>
      <c r="HF31" t="e">
        <f>AND(Heater!#REF!,"AAAAAD+/vtU=")</f>
        <v>#REF!</v>
      </c>
      <c r="HG31" t="e">
        <f>AND(Heater!#REF!,"AAAAAD+/vtY=")</f>
        <v>#REF!</v>
      </c>
      <c r="HH31" t="e">
        <f>AND(Heater!#REF!,"AAAAAD+/vtc=")</f>
        <v>#REF!</v>
      </c>
      <c r="HI31" t="e">
        <f>AND(Heater!#REF!,"AAAAAD+/vtg=")</f>
        <v>#REF!</v>
      </c>
      <c r="HJ31" t="e">
        <f>AND(Heater!#REF!,"AAAAAD+/vtk=")</f>
        <v>#REF!</v>
      </c>
      <c r="HK31" t="e">
        <f>AND(Heater!#REF!,"AAAAAD+/vto=")</f>
        <v>#REF!</v>
      </c>
      <c r="HL31" t="e">
        <f>IF(Heater!#REF!,"AAAAAD+/vts=",0)</f>
        <v>#REF!</v>
      </c>
      <c r="HM31" t="e">
        <f>AND(Heater!#REF!,"AAAAAD+/vtw=")</f>
        <v>#REF!</v>
      </c>
      <c r="HN31" t="e">
        <f>AND(Heater!#REF!,"AAAAAD+/vt0=")</f>
        <v>#REF!</v>
      </c>
      <c r="HO31" t="e">
        <f>AND(Heater!#REF!,"AAAAAD+/vt4=")</f>
        <v>#REF!</v>
      </c>
      <c r="HP31" t="e">
        <f>AND(Heater!#REF!,"AAAAAD+/vt8=")</f>
        <v>#REF!</v>
      </c>
      <c r="HQ31" t="e">
        <f>AND(Heater!#REF!,"AAAAAD+/vuA=")</f>
        <v>#REF!</v>
      </c>
      <c r="HR31" t="e">
        <f>AND(Heater!#REF!,"AAAAAD+/vuE=")</f>
        <v>#REF!</v>
      </c>
      <c r="HS31" t="e">
        <f>AND(Heater!#REF!,"AAAAAD+/vuI=")</f>
        <v>#REF!</v>
      </c>
      <c r="HT31" t="e">
        <f>AND(Heater!#REF!,"AAAAAD+/vuM=")</f>
        <v>#REF!</v>
      </c>
      <c r="HU31" t="e">
        <f>AND(Heater!#REF!,"AAAAAD+/vuQ=")</f>
        <v>#REF!</v>
      </c>
      <c r="HV31" t="e">
        <f>AND(Heater!#REF!,"AAAAAD+/vuU=")</f>
        <v>#REF!</v>
      </c>
      <c r="HW31" t="e">
        <f>AND(Heater!#REF!,"AAAAAD+/vuY=")</f>
        <v>#REF!</v>
      </c>
      <c r="HX31" t="e">
        <f>AND(Heater!#REF!,"AAAAAD+/vuc=")</f>
        <v>#REF!</v>
      </c>
      <c r="HY31" t="e">
        <f>AND(Heater!#REF!,"AAAAAD+/vug=")</f>
        <v>#REF!</v>
      </c>
      <c r="HZ31" t="e">
        <f>AND(Heater!#REF!,"AAAAAD+/vuk=")</f>
        <v>#REF!</v>
      </c>
      <c r="IA31" t="e">
        <f>AND(Heater!#REF!,"AAAAAD+/vuo=")</f>
        <v>#REF!</v>
      </c>
      <c r="IB31" t="e">
        <f>IF(Heater!#REF!,"AAAAAD+/vus=",0)</f>
        <v>#REF!</v>
      </c>
      <c r="IC31" t="e">
        <f>AND(Heater!#REF!,"AAAAAD+/vuw=")</f>
        <v>#REF!</v>
      </c>
      <c r="ID31" t="e">
        <f>AND(Heater!#REF!,"AAAAAD+/vu0=")</f>
        <v>#REF!</v>
      </c>
      <c r="IE31" t="e">
        <f>AND(Heater!#REF!,"AAAAAD+/vu4=")</f>
        <v>#REF!</v>
      </c>
      <c r="IF31" t="e">
        <f>AND(Heater!#REF!,"AAAAAD+/vu8=")</f>
        <v>#REF!</v>
      </c>
      <c r="IG31" t="e">
        <f>AND(Heater!#REF!,"AAAAAD+/vvA=")</f>
        <v>#REF!</v>
      </c>
      <c r="IH31" t="e">
        <f>AND(Heater!#REF!,"AAAAAD+/vvE=")</f>
        <v>#REF!</v>
      </c>
      <c r="II31" t="e">
        <f>AND(Heater!#REF!,"AAAAAD+/vvI=")</f>
        <v>#REF!</v>
      </c>
      <c r="IJ31" t="e">
        <f>AND(Heater!#REF!,"AAAAAD+/vvM=")</f>
        <v>#REF!</v>
      </c>
      <c r="IK31" t="e">
        <f>AND(Heater!#REF!,"AAAAAD+/vvQ=")</f>
        <v>#REF!</v>
      </c>
      <c r="IL31" t="e">
        <f>AND(Heater!#REF!,"AAAAAD+/vvU=")</f>
        <v>#REF!</v>
      </c>
      <c r="IM31" t="e">
        <f>AND(Heater!#REF!,"AAAAAD+/vvY=")</f>
        <v>#REF!</v>
      </c>
      <c r="IN31" t="e">
        <f>AND(Heater!#REF!,"AAAAAD+/vvc=")</f>
        <v>#REF!</v>
      </c>
      <c r="IO31" t="e">
        <f>AND(Heater!#REF!,"AAAAAD+/vvg=")</f>
        <v>#REF!</v>
      </c>
      <c r="IP31" t="e">
        <f>AND(Heater!#REF!,"AAAAAD+/vvk=")</f>
        <v>#REF!</v>
      </c>
      <c r="IQ31" t="e">
        <f>AND(Heater!#REF!,"AAAAAD+/vvo=")</f>
        <v>#REF!</v>
      </c>
      <c r="IR31" t="e">
        <f>IF(Heater!#REF!,"AAAAAD+/vvs=",0)</f>
        <v>#REF!</v>
      </c>
      <c r="IS31" t="e">
        <f>AND(Heater!#REF!,"AAAAAD+/vvw=")</f>
        <v>#REF!</v>
      </c>
      <c r="IT31" t="e">
        <f>AND(Heater!#REF!,"AAAAAD+/vv0=")</f>
        <v>#REF!</v>
      </c>
      <c r="IU31" t="e">
        <f>AND(Heater!#REF!,"AAAAAD+/vv4=")</f>
        <v>#REF!</v>
      </c>
      <c r="IV31" t="e">
        <f>AND(Heater!#REF!,"AAAAAD+/vv8=")</f>
        <v>#REF!</v>
      </c>
    </row>
    <row r="32" spans="1:256">
      <c r="A32" t="e">
        <f>AND(Heater!#REF!,"AAAAAHdcngA=")</f>
        <v>#REF!</v>
      </c>
      <c r="B32" t="e">
        <f>AND(Heater!#REF!,"AAAAAHdcngE=")</f>
        <v>#REF!</v>
      </c>
      <c r="C32" t="e">
        <f>AND(Heater!#REF!,"AAAAAHdcngI=")</f>
        <v>#REF!</v>
      </c>
      <c r="D32" t="e">
        <f>AND(Heater!#REF!,"AAAAAHdcngM=")</f>
        <v>#REF!</v>
      </c>
      <c r="E32" t="e">
        <f>AND(Heater!#REF!,"AAAAAHdcngQ=")</f>
        <v>#REF!</v>
      </c>
      <c r="F32" t="e">
        <f>AND(Heater!#REF!,"AAAAAHdcngU=")</f>
        <v>#REF!</v>
      </c>
      <c r="G32" t="e">
        <f>AND(Heater!#REF!,"AAAAAHdcngY=")</f>
        <v>#REF!</v>
      </c>
      <c r="H32" t="e">
        <f>AND(Heater!#REF!,"AAAAAHdcngc=")</f>
        <v>#REF!</v>
      </c>
      <c r="I32" t="e">
        <f>AND(Heater!#REF!,"AAAAAHdcngg=")</f>
        <v>#REF!</v>
      </c>
      <c r="J32" t="e">
        <f>AND(Heater!#REF!,"AAAAAHdcngk=")</f>
        <v>#REF!</v>
      </c>
      <c r="K32" t="e">
        <f>AND(Heater!#REF!,"AAAAAHdcngo=")</f>
        <v>#REF!</v>
      </c>
      <c r="L32" t="e">
        <f>IF(Heater!#REF!,"AAAAAHdcngs=",0)</f>
        <v>#REF!</v>
      </c>
      <c r="M32" t="e">
        <f>AND(Heater!#REF!,"AAAAAHdcngw=")</f>
        <v>#REF!</v>
      </c>
      <c r="N32" t="e">
        <f>AND(Heater!#REF!,"AAAAAHdcng0=")</f>
        <v>#REF!</v>
      </c>
      <c r="O32">
        <f>IF(Heater!A:A,"AAAAAHdcng4=",0)</f>
        <v>0</v>
      </c>
      <c r="P32">
        <f>IF(Heater!B:B,"AAAAAHdcng8=",0)</f>
        <v>0</v>
      </c>
      <c r="Q32">
        <f>IF(Heater!C:C,"AAAAAHdcnhA=",0)</f>
        <v>0</v>
      </c>
      <c r="R32">
        <f>IF(Heater!D:D,"AAAAAHdcnhE=",0)</f>
        <v>0</v>
      </c>
      <c r="S32">
        <f>IF(Heater!E:E,"AAAAAHdcnhI=",0)</f>
        <v>0</v>
      </c>
      <c r="T32">
        <f>IF(Heater!F:F,"AAAAAHdcnhM=",0)</f>
        <v>0</v>
      </c>
      <c r="U32">
        <f>IF(Heater!G:G,"AAAAAHdcnhQ=",0)</f>
        <v>0</v>
      </c>
      <c r="V32">
        <f>IF(Heater!H:H,"AAAAAHdcnhU=",0)</f>
        <v>0</v>
      </c>
      <c r="W32">
        <f>IF(Heater!I:I,"AAAAAHdcnhY=",0)</f>
        <v>0</v>
      </c>
      <c r="X32">
        <f>IF(Heater!J:J,"AAAAAHdcnhc=",0)</f>
        <v>0</v>
      </c>
      <c r="Y32">
        <f>IF(Heater!K:K,"AAAAAHdcnhg=",0)</f>
        <v>0</v>
      </c>
      <c r="Z32">
        <f>IF(Heater!L:L,"AAAAAHdcnhk=",0)</f>
        <v>0</v>
      </c>
      <c r="AA32">
        <f>IF(Heater!M:M,"AAAAAHdcnho=",0)</f>
        <v>0</v>
      </c>
      <c r="AB32">
        <f>IF(Heater!N:N,"AAAAAHdcnhs=",0)</f>
        <v>0</v>
      </c>
      <c r="AC32">
        <f>IF(Heater!O:O,"AAAAAHdcnhw=",0)</f>
        <v>0</v>
      </c>
      <c r="AD32" t="e">
        <f>IF(#REF!,"AAAAAHdcnh0=",0)</f>
        <v>#REF!</v>
      </c>
      <c r="AE32" t="e">
        <f>AND(#REF!,"AAAAAHdcnh4=")</f>
        <v>#REF!</v>
      </c>
      <c r="AF32" t="e">
        <f>AND(#REF!,"AAAAAHdcnh8=")</f>
        <v>#REF!</v>
      </c>
      <c r="AG32" t="e">
        <f>AND(#REF!,"AAAAAHdcniA=")</f>
        <v>#REF!</v>
      </c>
      <c r="AH32" t="e">
        <f>AND(#REF!,"AAAAAHdcniE=")</f>
        <v>#REF!</v>
      </c>
      <c r="AI32" t="e">
        <f>AND(#REF!,"AAAAAHdcniI=")</f>
        <v>#REF!</v>
      </c>
      <c r="AJ32" t="e">
        <f>AND(#REF!,"AAAAAHdcniM=")</f>
        <v>#REF!</v>
      </c>
      <c r="AK32" t="e">
        <f>AND(#REF!,"AAAAAHdcniQ=")</f>
        <v>#REF!</v>
      </c>
      <c r="AL32" t="e">
        <f>AND(#REF!,"AAAAAHdcniU=")</f>
        <v>#REF!</v>
      </c>
      <c r="AM32" t="e">
        <f>AND(#REF!,"AAAAAHdcniY=")</f>
        <v>#REF!</v>
      </c>
      <c r="AN32" t="e">
        <f>AND(#REF!,"AAAAAHdcnic=")</f>
        <v>#REF!</v>
      </c>
      <c r="AO32" t="e">
        <f>AND(#REF!,"AAAAAHdcnig=")</f>
        <v>#REF!</v>
      </c>
      <c r="AP32" t="e">
        <f>AND(#REF!,"AAAAAHdcnik=")</f>
        <v>#REF!</v>
      </c>
      <c r="AQ32" t="e">
        <f>AND(#REF!,"AAAAAHdcnio=")</f>
        <v>#REF!</v>
      </c>
      <c r="AR32" t="e">
        <f>AND(#REF!,"AAAAAHdcnis=")</f>
        <v>#REF!</v>
      </c>
      <c r="AS32" t="e">
        <f>AND(#REF!,"AAAAAHdcniw=")</f>
        <v>#REF!</v>
      </c>
      <c r="AT32" t="e">
        <f>IF(#REF!,"AAAAAHdcni0=",0)</f>
        <v>#REF!</v>
      </c>
      <c r="AU32" t="e">
        <f>AND(#REF!,"AAAAAHdcni4=")</f>
        <v>#REF!</v>
      </c>
      <c r="AV32" t="e">
        <f>AND(#REF!,"AAAAAHdcni8=")</f>
        <v>#REF!</v>
      </c>
      <c r="AW32" t="e">
        <f>AND(#REF!,"AAAAAHdcnjA=")</f>
        <v>#REF!</v>
      </c>
      <c r="AX32" t="e">
        <f>AND(#REF!,"AAAAAHdcnjE=")</f>
        <v>#REF!</v>
      </c>
      <c r="AY32" t="e">
        <f>AND(#REF!,"AAAAAHdcnjI=")</f>
        <v>#REF!</v>
      </c>
      <c r="AZ32" t="e">
        <f>AND(#REF!,"AAAAAHdcnjM=")</f>
        <v>#REF!</v>
      </c>
      <c r="BA32" t="e">
        <f>AND(#REF!,"AAAAAHdcnjQ=")</f>
        <v>#REF!</v>
      </c>
      <c r="BB32" t="e">
        <f>AND(#REF!,"AAAAAHdcnjU=")</f>
        <v>#REF!</v>
      </c>
      <c r="BC32" t="e">
        <f>AND(#REF!,"AAAAAHdcnjY=")</f>
        <v>#REF!</v>
      </c>
      <c r="BD32" t="e">
        <f>AND(#REF!,"AAAAAHdcnjc=")</f>
        <v>#REF!</v>
      </c>
      <c r="BE32" t="e">
        <f>AND(#REF!,"AAAAAHdcnjg=")</f>
        <v>#REF!</v>
      </c>
      <c r="BF32" t="e">
        <f>AND(#REF!,"AAAAAHdcnjk=")</f>
        <v>#REF!</v>
      </c>
      <c r="BG32" t="e">
        <f>AND(#REF!,"AAAAAHdcnjo=")</f>
        <v>#REF!</v>
      </c>
      <c r="BH32" t="e">
        <f>AND(#REF!,"AAAAAHdcnjs=")</f>
        <v>#REF!</v>
      </c>
      <c r="BI32" t="e">
        <f>AND(#REF!,"AAAAAHdcnjw=")</f>
        <v>#REF!</v>
      </c>
      <c r="BJ32" t="e">
        <f>IF(#REF!,"AAAAAHdcnj0=",0)</f>
        <v>#REF!</v>
      </c>
      <c r="BK32" t="e">
        <f>AND(#REF!,"AAAAAHdcnj4=")</f>
        <v>#REF!</v>
      </c>
      <c r="BL32" t="e">
        <f>AND(#REF!,"AAAAAHdcnj8=")</f>
        <v>#REF!</v>
      </c>
      <c r="BM32" t="e">
        <f>AND(#REF!,"AAAAAHdcnkA=")</f>
        <v>#REF!</v>
      </c>
      <c r="BN32" t="e">
        <f>AND(#REF!,"AAAAAHdcnkE=")</f>
        <v>#REF!</v>
      </c>
      <c r="BO32" t="e">
        <f>AND(#REF!,"AAAAAHdcnkI=")</f>
        <v>#REF!</v>
      </c>
      <c r="BP32" t="e">
        <f>AND(#REF!,"AAAAAHdcnkM=")</f>
        <v>#REF!</v>
      </c>
      <c r="BQ32" t="e">
        <f>AND(#REF!,"AAAAAHdcnkQ=")</f>
        <v>#REF!</v>
      </c>
      <c r="BR32" t="e">
        <f>AND(#REF!,"AAAAAHdcnkU=")</f>
        <v>#REF!</v>
      </c>
      <c r="BS32" t="e">
        <f>AND(#REF!,"AAAAAHdcnkY=")</f>
        <v>#REF!</v>
      </c>
      <c r="BT32" t="e">
        <f>AND(#REF!,"AAAAAHdcnkc=")</f>
        <v>#REF!</v>
      </c>
      <c r="BU32" t="e">
        <f>AND(#REF!,"AAAAAHdcnkg=")</f>
        <v>#REF!</v>
      </c>
      <c r="BV32" t="e">
        <f>AND(#REF!,"AAAAAHdcnkk=")</f>
        <v>#REF!</v>
      </c>
      <c r="BW32" t="e">
        <f>AND(#REF!,"AAAAAHdcnko=")</f>
        <v>#REF!</v>
      </c>
      <c r="BX32" t="e">
        <f>AND(#REF!,"AAAAAHdcnks=")</f>
        <v>#REF!</v>
      </c>
      <c r="BY32" t="e">
        <f>AND(#REF!,"AAAAAHdcnkw=")</f>
        <v>#REF!</v>
      </c>
      <c r="BZ32" t="e">
        <f>IF(#REF!,"AAAAAHdcnk0=",0)</f>
        <v>#REF!</v>
      </c>
      <c r="CA32" t="e">
        <f>AND(#REF!,"AAAAAHdcnk4=")</f>
        <v>#REF!</v>
      </c>
      <c r="CB32" t="e">
        <f>AND(#REF!,"AAAAAHdcnk8=")</f>
        <v>#REF!</v>
      </c>
      <c r="CC32" t="e">
        <f>AND(#REF!,"AAAAAHdcnlA=")</f>
        <v>#REF!</v>
      </c>
      <c r="CD32" t="e">
        <f>AND(#REF!,"AAAAAHdcnlE=")</f>
        <v>#REF!</v>
      </c>
      <c r="CE32" t="e">
        <f>AND(#REF!,"AAAAAHdcnlI=")</f>
        <v>#REF!</v>
      </c>
      <c r="CF32" t="e">
        <f>AND(#REF!,"AAAAAHdcnlM=")</f>
        <v>#REF!</v>
      </c>
      <c r="CG32" t="e">
        <f>AND(#REF!,"AAAAAHdcnlQ=")</f>
        <v>#REF!</v>
      </c>
      <c r="CH32" t="e">
        <f>AND(#REF!,"AAAAAHdcnlU=")</f>
        <v>#REF!</v>
      </c>
      <c r="CI32" t="e">
        <f>AND(#REF!,"AAAAAHdcnlY=")</f>
        <v>#REF!</v>
      </c>
      <c r="CJ32" t="e">
        <f>AND(#REF!,"AAAAAHdcnlc=")</f>
        <v>#REF!</v>
      </c>
      <c r="CK32" t="e">
        <f>AND(#REF!,"AAAAAHdcnlg=")</f>
        <v>#REF!</v>
      </c>
      <c r="CL32" t="e">
        <f>AND(#REF!,"AAAAAHdcnlk=")</f>
        <v>#REF!</v>
      </c>
      <c r="CM32" t="e">
        <f>AND(#REF!,"AAAAAHdcnlo=")</f>
        <v>#REF!</v>
      </c>
      <c r="CN32" t="e">
        <f>AND(#REF!,"AAAAAHdcnls=")</f>
        <v>#REF!</v>
      </c>
      <c r="CO32" t="e">
        <f>AND(#REF!,"AAAAAHdcnlw=")</f>
        <v>#REF!</v>
      </c>
      <c r="CP32" t="e">
        <f>IF(#REF!,"AAAAAHdcnl0=",0)</f>
        <v>#REF!</v>
      </c>
      <c r="CQ32" t="e">
        <f>AND(#REF!,"AAAAAHdcnl4=")</f>
        <v>#REF!</v>
      </c>
      <c r="CR32" t="e">
        <f>AND(#REF!,"AAAAAHdcnl8=")</f>
        <v>#REF!</v>
      </c>
      <c r="CS32" t="e">
        <f>AND(#REF!,"AAAAAHdcnmA=")</f>
        <v>#REF!</v>
      </c>
      <c r="CT32" t="e">
        <f>AND(#REF!,"AAAAAHdcnmE=")</f>
        <v>#REF!</v>
      </c>
      <c r="CU32" t="e">
        <f>AND(#REF!,"AAAAAHdcnmI=")</f>
        <v>#REF!</v>
      </c>
      <c r="CV32" t="e">
        <f>AND(#REF!,"AAAAAHdcnmM=")</f>
        <v>#REF!</v>
      </c>
      <c r="CW32" t="e">
        <f>AND(#REF!,"AAAAAHdcnmQ=")</f>
        <v>#REF!</v>
      </c>
      <c r="CX32" t="e">
        <f>AND(#REF!,"AAAAAHdcnmU=")</f>
        <v>#REF!</v>
      </c>
      <c r="CY32" t="e">
        <f>AND(#REF!,"AAAAAHdcnmY=")</f>
        <v>#REF!</v>
      </c>
      <c r="CZ32" t="e">
        <f>AND(#REF!,"AAAAAHdcnmc=")</f>
        <v>#REF!</v>
      </c>
      <c r="DA32" t="e">
        <f>AND(#REF!,"AAAAAHdcnmg=")</f>
        <v>#REF!</v>
      </c>
      <c r="DB32" t="e">
        <f>AND(#REF!,"AAAAAHdcnmk=")</f>
        <v>#REF!</v>
      </c>
      <c r="DC32" t="e">
        <f>AND(#REF!,"AAAAAHdcnmo=")</f>
        <v>#REF!</v>
      </c>
      <c r="DD32" t="e">
        <f>AND(#REF!,"AAAAAHdcnms=")</f>
        <v>#REF!</v>
      </c>
      <c r="DE32" t="e">
        <f>AND(#REF!,"AAAAAHdcnmw=")</f>
        <v>#REF!</v>
      </c>
      <c r="DF32" t="e">
        <f>IF(#REF!,"AAAAAHdcnm0=",0)</f>
        <v>#REF!</v>
      </c>
      <c r="DG32" t="e">
        <f>AND(#REF!,"AAAAAHdcnm4=")</f>
        <v>#REF!</v>
      </c>
      <c r="DH32" t="e">
        <f>AND(#REF!,"AAAAAHdcnm8=")</f>
        <v>#REF!</v>
      </c>
      <c r="DI32" t="e">
        <f>AND(#REF!,"AAAAAHdcnnA=")</f>
        <v>#REF!</v>
      </c>
      <c r="DJ32" t="e">
        <f>AND(#REF!,"AAAAAHdcnnE=")</f>
        <v>#REF!</v>
      </c>
      <c r="DK32" t="e">
        <f>AND(#REF!,"AAAAAHdcnnI=")</f>
        <v>#REF!</v>
      </c>
      <c r="DL32" t="e">
        <f>AND(#REF!,"AAAAAHdcnnM=")</f>
        <v>#REF!</v>
      </c>
      <c r="DM32" t="e">
        <f>AND(#REF!,"AAAAAHdcnnQ=")</f>
        <v>#REF!</v>
      </c>
      <c r="DN32" t="e">
        <f>AND(#REF!,"AAAAAHdcnnU=")</f>
        <v>#REF!</v>
      </c>
      <c r="DO32" t="e">
        <f>AND(#REF!,"AAAAAHdcnnY=")</f>
        <v>#REF!</v>
      </c>
      <c r="DP32" t="e">
        <f>AND(#REF!,"AAAAAHdcnnc=")</f>
        <v>#REF!</v>
      </c>
      <c r="DQ32" t="e">
        <f>AND(#REF!,"AAAAAHdcnng=")</f>
        <v>#REF!</v>
      </c>
      <c r="DR32" t="e">
        <f>AND(#REF!,"AAAAAHdcnnk=")</f>
        <v>#REF!</v>
      </c>
      <c r="DS32" t="e">
        <f>AND(#REF!,"AAAAAHdcnno=")</f>
        <v>#REF!</v>
      </c>
      <c r="DT32" t="e">
        <f>AND(#REF!,"AAAAAHdcnns=")</f>
        <v>#REF!</v>
      </c>
      <c r="DU32" t="e">
        <f>AND(#REF!,"AAAAAHdcnnw=")</f>
        <v>#REF!</v>
      </c>
      <c r="DV32" t="e">
        <f>IF(#REF!,"AAAAAHdcnn0=",0)</f>
        <v>#REF!</v>
      </c>
      <c r="DW32" t="e">
        <f>AND(#REF!,"AAAAAHdcnn4=")</f>
        <v>#REF!</v>
      </c>
      <c r="DX32" t="e">
        <f>AND(#REF!,"AAAAAHdcnn8=")</f>
        <v>#REF!</v>
      </c>
      <c r="DY32" t="e">
        <f>AND(#REF!,"AAAAAHdcnoA=")</f>
        <v>#REF!</v>
      </c>
      <c r="DZ32" t="e">
        <f>AND(#REF!,"AAAAAHdcnoE=")</f>
        <v>#REF!</v>
      </c>
      <c r="EA32" t="e">
        <f>AND(#REF!,"AAAAAHdcnoI=")</f>
        <v>#REF!</v>
      </c>
      <c r="EB32" t="e">
        <f>AND(#REF!,"AAAAAHdcnoM=")</f>
        <v>#REF!</v>
      </c>
      <c r="EC32" t="e">
        <f>AND(#REF!,"AAAAAHdcnoQ=")</f>
        <v>#REF!</v>
      </c>
      <c r="ED32" t="e">
        <f>AND(#REF!,"AAAAAHdcnoU=")</f>
        <v>#REF!</v>
      </c>
      <c r="EE32" t="e">
        <f>AND(#REF!,"AAAAAHdcnoY=")</f>
        <v>#REF!</v>
      </c>
      <c r="EF32" t="e">
        <f>AND(#REF!,"AAAAAHdcnoc=")</f>
        <v>#REF!</v>
      </c>
      <c r="EG32" t="e">
        <f>AND(#REF!,"AAAAAHdcnog=")</f>
        <v>#REF!</v>
      </c>
      <c r="EH32" t="e">
        <f>AND(#REF!,"AAAAAHdcnok=")</f>
        <v>#REF!</v>
      </c>
      <c r="EI32" t="e">
        <f>AND(#REF!,"AAAAAHdcnoo=")</f>
        <v>#REF!</v>
      </c>
      <c r="EJ32" t="e">
        <f>AND(#REF!,"AAAAAHdcnos=")</f>
        <v>#REF!</v>
      </c>
      <c r="EK32" t="e">
        <f>AND(#REF!,"AAAAAHdcnow=")</f>
        <v>#REF!</v>
      </c>
      <c r="EL32" t="e">
        <f>IF(#REF!,"AAAAAHdcno0=",0)</f>
        <v>#REF!</v>
      </c>
      <c r="EM32" t="e">
        <f>AND(#REF!,"AAAAAHdcno4=")</f>
        <v>#REF!</v>
      </c>
      <c r="EN32" t="e">
        <f>AND(#REF!,"AAAAAHdcno8=")</f>
        <v>#REF!</v>
      </c>
      <c r="EO32" t="e">
        <f>AND(#REF!,"AAAAAHdcnpA=")</f>
        <v>#REF!</v>
      </c>
      <c r="EP32" t="e">
        <f>AND(#REF!,"AAAAAHdcnpE=")</f>
        <v>#REF!</v>
      </c>
      <c r="EQ32" t="e">
        <f>AND(#REF!,"AAAAAHdcnpI=")</f>
        <v>#REF!</v>
      </c>
      <c r="ER32" t="e">
        <f>AND(#REF!,"AAAAAHdcnpM=")</f>
        <v>#REF!</v>
      </c>
      <c r="ES32" t="e">
        <f>AND(#REF!,"AAAAAHdcnpQ=")</f>
        <v>#REF!</v>
      </c>
      <c r="ET32" t="e">
        <f>AND(#REF!,"AAAAAHdcnpU=")</f>
        <v>#REF!</v>
      </c>
      <c r="EU32" t="e">
        <f>AND(#REF!,"AAAAAHdcnpY=")</f>
        <v>#REF!</v>
      </c>
      <c r="EV32" t="e">
        <f>AND(#REF!,"AAAAAHdcnpc=")</f>
        <v>#REF!</v>
      </c>
      <c r="EW32" t="e">
        <f>AND(#REF!,"AAAAAHdcnpg=")</f>
        <v>#REF!</v>
      </c>
      <c r="EX32" t="e">
        <f>AND(#REF!,"AAAAAHdcnpk=")</f>
        <v>#REF!</v>
      </c>
      <c r="EY32" t="e">
        <f>AND(#REF!,"AAAAAHdcnpo=")</f>
        <v>#REF!</v>
      </c>
      <c r="EZ32" t="e">
        <f>AND(#REF!,"AAAAAHdcnps=")</f>
        <v>#REF!</v>
      </c>
      <c r="FA32" t="e">
        <f>AND(#REF!,"AAAAAHdcnpw=")</f>
        <v>#REF!</v>
      </c>
      <c r="FB32" t="e">
        <f>IF(#REF!,"AAAAAHdcnp0=",0)</f>
        <v>#REF!</v>
      </c>
      <c r="FC32" t="e">
        <f>AND(#REF!,"AAAAAHdcnp4=")</f>
        <v>#REF!</v>
      </c>
      <c r="FD32" t="e">
        <f>AND(#REF!,"AAAAAHdcnp8=")</f>
        <v>#REF!</v>
      </c>
      <c r="FE32" t="e">
        <f>AND(#REF!,"AAAAAHdcnqA=")</f>
        <v>#REF!</v>
      </c>
      <c r="FF32" t="e">
        <f>AND(#REF!,"AAAAAHdcnqE=")</f>
        <v>#REF!</v>
      </c>
      <c r="FG32" t="e">
        <f>AND(#REF!,"AAAAAHdcnqI=")</f>
        <v>#REF!</v>
      </c>
      <c r="FH32" t="e">
        <f>AND(#REF!,"AAAAAHdcnqM=")</f>
        <v>#REF!</v>
      </c>
      <c r="FI32" t="e">
        <f>AND(#REF!,"AAAAAHdcnqQ=")</f>
        <v>#REF!</v>
      </c>
      <c r="FJ32" t="e">
        <f>AND(#REF!,"AAAAAHdcnqU=")</f>
        <v>#REF!</v>
      </c>
      <c r="FK32" t="e">
        <f>AND(#REF!,"AAAAAHdcnqY=")</f>
        <v>#REF!</v>
      </c>
      <c r="FL32" t="e">
        <f>AND(#REF!,"AAAAAHdcnqc=")</f>
        <v>#REF!</v>
      </c>
      <c r="FM32" t="e">
        <f>AND(#REF!,"AAAAAHdcnqg=")</f>
        <v>#REF!</v>
      </c>
      <c r="FN32" t="e">
        <f>AND(#REF!,"AAAAAHdcnqk=")</f>
        <v>#REF!</v>
      </c>
      <c r="FO32" t="e">
        <f>AND(#REF!,"AAAAAHdcnqo=")</f>
        <v>#REF!</v>
      </c>
      <c r="FP32" t="e">
        <f>AND(#REF!,"AAAAAHdcnqs=")</f>
        <v>#REF!</v>
      </c>
      <c r="FQ32" t="e">
        <f>AND(#REF!,"AAAAAHdcnqw=")</f>
        <v>#REF!</v>
      </c>
      <c r="FR32" t="e">
        <f>IF(#REF!,"AAAAAHdcnq0=",0)</f>
        <v>#REF!</v>
      </c>
      <c r="FS32" t="e">
        <f>AND(#REF!,"AAAAAHdcnq4=")</f>
        <v>#REF!</v>
      </c>
      <c r="FT32" t="e">
        <f>AND(#REF!,"AAAAAHdcnq8=")</f>
        <v>#REF!</v>
      </c>
      <c r="FU32" t="e">
        <f>AND(#REF!,"AAAAAHdcnrA=")</f>
        <v>#REF!</v>
      </c>
      <c r="FV32" t="e">
        <f>AND(#REF!,"AAAAAHdcnrE=")</f>
        <v>#REF!</v>
      </c>
      <c r="FW32" t="e">
        <f>AND(#REF!,"AAAAAHdcnrI=")</f>
        <v>#REF!</v>
      </c>
      <c r="FX32" t="e">
        <f>AND(#REF!,"AAAAAHdcnrM=")</f>
        <v>#REF!</v>
      </c>
      <c r="FY32" t="e">
        <f>AND(#REF!,"AAAAAHdcnrQ=")</f>
        <v>#REF!</v>
      </c>
      <c r="FZ32" t="e">
        <f>AND(#REF!,"AAAAAHdcnrU=")</f>
        <v>#REF!</v>
      </c>
      <c r="GA32" t="e">
        <f>AND(#REF!,"AAAAAHdcnrY=")</f>
        <v>#REF!</v>
      </c>
      <c r="GB32" t="e">
        <f>AND(#REF!,"AAAAAHdcnrc=")</f>
        <v>#REF!</v>
      </c>
      <c r="GC32" t="e">
        <f>AND(#REF!,"AAAAAHdcnrg=")</f>
        <v>#REF!</v>
      </c>
      <c r="GD32" t="e">
        <f>AND(#REF!,"AAAAAHdcnrk=")</f>
        <v>#REF!</v>
      </c>
      <c r="GE32" t="e">
        <f>AND(#REF!,"AAAAAHdcnro=")</f>
        <v>#REF!</v>
      </c>
      <c r="GF32" t="e">
        <f>AND(#REF!,"AAAAAHdcnrs=")</f>
        <v>#REF!</v>
      </c>
      <c r="GG32" t="e">
        <f>AND(#REF!,"AAAAAHdcnrw=")</f>
        <v>#REF!</v>
      </c>
      <c r="GH32" t="e">
        <f>IF(#REF!,"AAAAAHdcnr0=",0)</f>
        <v>#REF!</v>
      </c>
      <c r="GI32" t="e">
        <f>AND(#REF!,"AAAAAHdcnr4=")</f>
        <v>#REF!</v>
      </c>
      <c r="GJ32" t="e">
        <f>AND(#REF!,"AAAAAHdcnr8=")</f>
        <v>#REF!</v>
      </c>
      <c r="GK32" t="e">
        <f>AND(#REF!,"AAAAAHdcnsA=")</f>
        <v>#REF!</v>
      </c>
      <c r="GL32" t="e">
        <f>AND(#REF!,"AAAAAHdcnsE=")</f>
        <v>#REF!</v>
      </c>
      <c r="GM32" t="e">
        <f>AND(#REF!,"AAAAAHdcnsI=")</f>
        <v>#REF!</v>
      </c>
      <c r="GN32" t="e">
        <f>AND(#REF!,"AAAAAHdcnsM=")</f>
        <v>#REF!</v>
      </c>
      <c r="GO32" t="e">
        <f>AND(#REF!,"AAAAAHdcnsQ=")</f>
        <v>#REF!</v>
      </c>
      <c r="GP32" t="e">
        <f>AND(#REF!,"AAAAAHdcnsU=")</f>
        <v>#REF!</v>
      </c>
      <c r="GQ32" t="e">
        <f>AND(#REF!,"AAAAAHdcnsY=")</f>
        <v>#REF!</v>
      </c>
      <c r="GR32" t="e">
        <f>AND(#REF!,"AAAAAHdcnsc=")</f>
        <v>#REF!</v>
      </c>
      <c r="GS32" t="e">
        <f>AND(#REF!,"AAAAAHdcnsg=")</f>
        <v>#REF!</v>
      </c>
      <c r="GT32" t="e">
        <f>AND(#REF!,"AAAAAHdcnsk=")</f>
        <v>#REF!</v>
      </c>
      <c r="GU32" t="e">
        <f>AND(#REF!,"AAAAAHdcnso=")</f>
        <v>#REF!</v>
      </c>
      <c r="GV32" t="e">
        <f>AND(#REF!,"AAAAAHdcnss=")</f>
        <v>#REF!</v>
      </c>
      <c r="GW32" t="e">
        <f>AND(#REF!,"AAAAAHdcnsw=")</f>
        <v>#REF!</v>
      </c>
      <c r="GX32" t="e">
        <f>IF(#REF!,"AAAAAHdcns0=",0)</f>
        <v>#REF!</v>
      </c>
      <c r="GY32" t="e">
        <f>AND(#REF!,"AAAAAHdcns4=")</f>
        <v>#REF!</v>
      </c>
      <c r="GZ32" t="e">
        <f>AND(#REF!,"AAAAAHdcns8=")</f>
        <v>#REF!</v>
      </c>
      <c r="HA32" t="e">
        <f>AND(#REF!,"AAAAAHdcntA=")</f>
        <v>#REF!</v>
      </c>
      <c r="HB32" t="e">
        <f>AND(#REF!,"AAAAAHdcntE=")</f>
        <v>#REF!</v>
      </c>
      <c r="HC32" t="e">
        <f>AND(#REF!,"AAAAAHdcntI=")</f>
        <v>#REF!</v>
      </c>
      <c r="HD32" t="e">
        <f>AND(#REF!,"AAAAAHdcntM=")</f>
        <v>#REF!</v>
      </c>
      <c r="HE32" t="e">
        <f>AND(#REF!,"AAAAAHdcntQ=")</f>
        <v>#REF!</v>
      </c>
      <c r="HF32" t="e">
        <f>AND(#REF!,"AAAAAHdcntU=")</f>
        <v>#REF!</v>
      </c>
      <c r="HG32" t="e">
        <f>AND(#REF!,"AAAAAHdcntY=")</f>
        <v>#REF!</v>
      </c>
      <c r="HH32" t="e">
        <f>AND(#REF!,"AAAAAHdcntc=")</f>
        <v>#REF!</v>
      </c>
      <c r="HI32" t="e">
        <f>AND(#REF!,"AAAAAHdcntg=")</f>
        <v>#REF!</v>
      </c>
      <c r="HJ32" t="e">
        <f>AND(#REF!,"AAAAAHdcntk=")</f>
        <v>#REF!</v>
      </c>
      <c r="HK32" t="e">
        <f>AND(#REF!,"AAAAAHdcnto=")</f>
        <v>#REF!</v>
      </c>
      <c r="HL32" t="e">
        <f>AND(#REF!,"AAAAAHdcnts=")</f>
        <v>#REF!</v>
      </c>
      <c r="HM32" t="e">
        <f>AND(#REF!,"AAAAAHdcntw=")</f>
        <v>#REF!</v>
      </c>
      <c r="HN32" t="e">
        <f>IF(#REF!,"AAAAAHdcnt0=",0)</f>
        <v>#REF!</v>
      </c>
      <c r="HO32" t="e">
        <f>AND(#REF!,"AAAAAHdcnt4=")</f>
        <v>#REF!</v>
      </c>
      <c r="HP32" t="e">
        <f>AND(#REF!,"AAAAAHdcnt8=")</f>
        <v>#REF!</v>
      </c>
      <c r="HQ32" t="e">
        <f>AND(#REF!,"AAAAAHdcnuA=")</f>
        <v>#REF!</v>
      </c>
      <c r="HR32" t="e">
        <f>AND(#REF!,"AAAAAHdcnuE=")</f>
        <v>#REF!</v>
      </c>
      <c r="HS32" t="e">
        <f>AND(#REF!,"AAAAAHdcnuI=")</f>
        <v>#REF!</v>
      </c>
      <c r="HT32" t="e">
        <f>AND(#REF!,"AAAAAHdcnuM=")</f>
        <v>#REF!</v>
      </c>
      <c r="HU32" t="e">
        <f>AND(#REF!,"AAAAAHdcnuQ=")</f>
        <v>#REF!</v>
      </c>
      <c r="HV32" t="e">
        <f>AND(#REF!,"AAAAAHdcnuU=")</f>
        <v>#REF!</v>
      </c>
      <c r="HW32" t="e">
        <f>AND(#REF!,"AAAAAHdcnuY=")</f>
        <v>#REF!</v>
      </c>
      <c r="HX32" t="e">
        <f>AND(#REF!,"AAAAAHdcnuc=")</f>
        <v>#REF!</v>
      </c>
      <c r="HY32" t="e">
        <f>AND(#REF!,"AAAAAHdcnug=")</f>
        <v>#REF!</v>
      </c>
      <c r="HZ32" t="e">
        <f>AND(#REF!,"AAAAAHdcnuk=")</f>
        <v>#REF!</v>
      </c>
      <c r="IA32" t="e">
        <f>AND(#REF!,"AAAAAHdcnuo=")</f>
        <v>#REF!</v>
      </c>
      <c r="IB32" t="e">
        <f>AND(#REF!,"AAAAAHdcnus=")</f>
        <v>#REF!</v>
      </c>
      <c r="IC32" t="e">
        <f>AND(#REF!,"AAAAAHdcnuw=")</f>
        <v>#REF!</v>
      </c>
      <c r="ID32" t="e">
        <f>IF(#REF!,"AAAAAHdcnu0=",0)</f>
        <v>#REF!</v>
      </c>
      <c r="IE32" t="e">
        <f>AND(#REF!,"AAAAAHdcnu4=")</f>
        <v>#REF!</v>
      </c>
      <c r="IF32" t="e">
        <f>AND(#REF!,"AAAAAHdcnu8=")</f>
        <v>#REF!</v>
      </c>
      <c r="IG32" t="e">
        <f>AND(#REF!,"AAAAAHdcnvA=")</f>
        <v>#REF!</v>
      </c>
      <c r="IH32" t="e">
        <f>AND(#REF!,"AAAAAHdcnvE=")</f>
        <v>#REF!</v>
      </c>
      <c r="II32" t="e">
        <f>AND(#REF!,"AAAAAHdcnvI=")</f>
        <v>#REF!</v>
      </c>
      <c r="IJ32" t="e">
        <f>AND(#REF!,"AAAAAHdcnvM=")</f>
        <v>#REF!</v>
      </c>
      <c r="IK32" t="e">
        <f>AND(#REF!,"AAAAAHdcnvQ=")</f>
        <v>#REF!</v>
      </c>
      <c r="IL32" t="e">
        <f>AND(#REF!,"AAAAAHdcnvU=")</f>
        <v>#REF!</v>
      </c>
      <c r="IM32" t="e">
        <f>AND(#REF!,"AAAAAHdcnvY=")</f>
        <v>#REF!</v>
      </c>
      <c r="IN32" t="e">
        <f>AND(#REF!,"AAAAAHdcnvc=")</f>
        <v>#REF!</v>
      </c>
      <c r="IO32" t="e">
        <f>AND(#REF!,"AAAAAHdcnvg=")</f>
        <v>#REF!</v>
      </c>
      <c r="IP32" t="e">
        <f>AND(#REF!,"AAAAAHdcnvk=")</f>
        <v>#REF!</v>
      </c>
      <c r="IQ32" t="e">
        <f>AND(#REF!,"AAAAAHdcnvo=")</f>
        <v>#REF!</v>
      </c>
      <c r="IR32" t="e">
        <f>AND(#REF!,"AAAAAHdcnvs=")</f>
        <v>#REF!</v>
      </c>
      <c r="IS32" t="e">
        <f>AND(#REF!,"AAAAAHdcnvw=")</f>
        <v>#REF!</v>
      </c>
      <c r="IT32" t="e">
        <f>IF(#REF!,"AAAAAHdcnv0=",0)</f>
        <v>#REF!</v>
      </c>
      <c r="IU32" t="e">
        <f>AND(#REF!,"AAAAAHdcnv4=")</f>
        <v>#REF!</v>
      </c>
      <c r="IV32" t="e">
        <f>AND(#REF!,"AAAAAHdcnv8=")</f>
        <v>#REF!</v>
      </c>
    </row>
    <row r="33" spans="1:256">
      <c r="A33" t="e">
        <f>AND(#REF!,"AAAAABV8mwA=")</f>
        <v>#REF!</v>
      </c>
      <c r="B33" t="e">
        <f>AND(#REF!,"AAAAABV8mwE=")</f>
        <v>#REF!</v>
      </c>
      <c r="C33" t="e">
        <f>AND(#REF!,"AAAAABV8mwI=")</f>
        <v>#REF!</v>
      </c>
      <c r="D33" t="e">
        <f>AND(#REF!,"AAAAABV8mwM=")</f>
        <v>#REF!</v>
      </c>
      <c r="E33" t="e">
        <f>AND(#REF!,"AAAAABV8mwQ=")</f>
        <v>#REF!</v>
      </c>
      <c r="F33" t="e">
        <f>AND(#REF!,"AAAAABV8mwU=")</f>
        <v>#REF!</v>
      </c>
      <c r="G33" t="e">
        <f>AND(#REF!,"AAAAABV8mwY=")</f>
        <v>#REF!</v>
      </c>
      <c r="H33" t="e">
        <f>AND(#REF!,"AAAAABV8mwc=")</f>
        <v>#REF!</v>
      </c>
      <c r="I33" t="e">
        <f>AND(#REF!,"AAAAABV8mwg=")</f>
        <v>#REF!</v>
      </c>
      <c r="J33" t="e">
        <f>AND(#REF!,"AAAAABV8mwk=")</f>
        <v>#REF!</v>
      </c>
      <c r="K33" t="e">
        <f>AND(#REF!,"AAAAABV8mwo=")</f>
        <v>#REF!</v>
      </c>
      <c r="L33" t="e">
        <f>AND(#REF!,"AAAAABV8mws=")</f>
        <v>#REF!</v>
      </c>
      <c r="M33" t="e">
        <f>AND(#REF!,"AAAAABV8mww=")</f>
        <v>#REF!</v>
      </c>
      <c r="N33" t="e">
        <f>IF(#REF!,"AAAAABV8mw0=",0)</f>
        <v>#REF!</v>
      </c>
      <c r="O33" t="e">
        <f>AND(#REF!,"AAAAABV8mw4=")</f>
        <v>#REF!</v>
      </c>
      <c r="P33" t="e">
        <f>AND(#REF!,"AAAAABV8mw8=")</f>
        <v>#REF!</v>
      </c>
      <c r="Q33" t="e">
        <f>AND(#REF!,"AAAAABV8mxA=")</f>
        <v>#REF!</v>
      </c>
      <c r="R33" t="e">
        <f>AND(#REF!,"AAAAABV8mxE=")</f>
        <v>#REF!</v>
      </c>
      <c r="S33" t="e">
        <f>AND(#REF!,"AAAAABV8mxI=")</f>
        <v>#REF!</v>
      </c>
      <c r="T33" t="e">
        <f>AND(#REF!,"AAAAABV8mxM=")</f>
        <v>#REF!</v>
      </c>
      <c r="U33" t="e">
        <f>AND(#REF!,"AAAAABV8mxQ=")</f>
        <v>#REF!</v>
      </c>
      <c r="V33" t="e">
        <f>AND(#REF!,"AAAAABV8mxU=")</f>
        <v>#REF!</v>
      </c>
      <c r="W33" t="e">
        <f>AND(#REF!,"AAAAABV8mxY=")</f>
        <v>#REF!</v>
      </c>
      <c r="X33" t="e">
        <f>AND(#REF!,"AAAAABV8mxc=")</f>
        <v>#REF!</v>
      </c>
      <c r="Y33" t="e">
        <f>AND(#REF!,"AAAAABV8mxg=")</f>
        <v>#REF!</v>
      </c>
      <c r="Z33" t="e">
        <f>AND(#REF!,"AAAAABV8mxk=")</f>
        <v>#REF!</v>
      </c>
      <c r="AA33" t="e">
        <f>AND(#REF!,"AAAAABV8mxo=")</f>
        <v>#REF!</v>
      </c>
      <c r="AB33" t="e">
        <f>AND(#REF!,"AAAAABV8mxs=")</f>
        <v>#REF!</v>
      </c>
      <c r="AC33" t="e">
        <f>AND(#REF!,"AAAAABV8mxw=")</f>
        <v>#REF!</v>
      </c>
      <c r="AD33" t="e">
        <f>IF(#REF!,"AAAAABV8mx0=",0)</f>
        <v>#REF!</v>
      </c>
      <c r="AE33" t="e">
        <f>AND(#REF!,"AAAAABV8mx4=")</f>
        <v>#REF!</v>
      </c>
      <c r="AF33" t="e">
        <f>AND(#REF!,"AAAAABV8mx8=")</f>
        <v>#REF!</v>
      </c>
      <c r="AG33" t="e">
        <f>AND(#REF!,"AAAAABV8myA=")</f>
        <v>#REF!</v>
      </c>
      <c r="AH33" t="e">
        <f>AND(#REF!,"AAAAABV8myE=")</f>
        <v>#REF!</v>
      </c>
      <c r="AI33" t="e">
        <f>AND(#REF!,"AAAAABV8myI=")</f>
        <v>#REF!</v>
      </c>
      <c r="AJ33" t="e">
        <f>AND(#REF!,"AAAAABV8myM=")</f>
        <v>#REF!</v>
      </c>
      <c r="AK33" t="e">
        <f>AND(#REF!,"AAAAABV8myQ=")</f>
        <v>#REF!</v>
      </c>
      <c r="AL33" t="e">
        <f>AND(#REF!,"AAAAABV8myU=")</f>
        <v>#REF!</v>
      </c>
      <c r="AM33" t="e">
        <f>AND(#REF!,"AAAAABV8myY=")</f>
        <v>#REF!</v>
      </c>
      <c r="AN33" t="e">
        <f>AND(#REF!,"AAAAABV8myc=")</f>
        <v>#REF!</v>
      </c>
      <c r="AO33" t="e">
        <f>AND(#REF!,"AAAAABV8myg=")</f>
        <v>#REF!</v>
      </c>
      <c r="AP33" t="e">
        <f>AND(#REF!,"AAAAABV8myk=")</f>
        <v>#REF!</v>
      </c>
      <c r="AQ33" t="e">
        <f>AND(#REF!,"AAAAABV8myo=")</f>
        <v>#REF!</v>
      </c>
      <c r="AR33" t="e">
        <f>AND(#REF!,"AAAAABV8mys=")</f>
        <v>#REF!</v>
      </c>
      <c r="AS33" t="e">
        <f>AND(#REF!,"AAAAABV8myw=")</f>
        <v>#REF!</v>
      </c>
      <c r="AT33" t="e">
        <f>IF(#REF!,"AAAAABV8my0=",0)</f>
        <v>#REF!</v>
      </c>
      <c r="AU33" t="e">
        <f>AND(#REF!,"AAAAABV8my4=")</f>
        <v>#REF!</v>
      </c>
      <c r="AV33" t="e">
        <f>AND(#REF!,"AAAAABV8my8=")</f>
        <v>#REF!</v>
      </c>
      <c r="AW33" t="e">
        <f>AND(#REF!,"AAAAABV8mzA=")</f>
        <v>#REF!</v>
      </c>
      <c r="AX33" t="e">
        <f>AND(#REF!,"AAAAABV8mzE=")</f>
        <v>#REF!</v>
      </c>
      <c r="AY33" t="e">
        <f>AND(#REF!,"AAAAABV8mzI=")</f>
        <v>#REF!</v>
      </c>
      <c r="AZ33" t="e">
        <f>AND(#REF!,"AAAAABV8mzM=")</f>
        <v>#REF!</v>
      </c>
      <c r="BA33" t="e">
        <f>AND(#REF!,"AAAAABV8mzQ=")</f>
        <v>#REF!</v>
      </c>
      <c r="BB33" t="e">
        <f>AND(#REF!,"AAAAABV8mzU=")</f>
        <v>#REF!</v>
      </c>
      <c r="BC33" t="e">
        <f>AND(#REF!,"AAAAABV8mzY=")</f>
        <v>#REF!</v>
      </c>
      <c r="BD33" t="e">
        <f>AND(#REF!,"AAAAABV8mzc=")</f>
        <v>#REF!</v>
      </c>
      <c r="BE33" t="e">
        <f>AND(#REF!,"AAAAABV8mzg=")</f>
        <v>#REF!</v>
      </c>
      <c r="BF33" t="e">
        <f>AND(#REF!,"AAAAABV8mzk=")</f>
        <v>#REF!</v>
      </c>
      <c r="BG33" t="e">
        <f>AND(#REF!,"AAAAABV8mzo=")</f>
        <v>#REF!</v>
      </c>
      <c r="BH33" t="e">
        <f>AND(#REF!,"AAAAABV8mzs=")</f>
        <v>#REF!</v>
      </c>
      <c r="BI33" t="e">
        <f>AND(#REF!,"AAAAABV8mzw=")</f>
        <v>#REF!</v>
      </c>
      <c r="BJ33" t="e">
        <f>IF(#REF!,"AAAAABV8mz0=",0)</f>
        <v>#REF!</v>
      </c>
      <c r="BK33" t="e">
        <f>AND(#REF!,"AAAAABV8mz4=")</f>
        <v>#REF!</v>
      </c>
      <c r="BL33" t="e">
        <f>AND(#REF!,"AAAAABV8mz8=")</f>
        <v>#REF!</v>
      </c>
      <c r="BM33" t="e">
        <f>AND(#REF!,"AAAAABV8m0A=")</f>
        <v>#REF!</v>
      </c>
      <c r="BN33" t="e">
        <f>AND(#REF!,"AAAAABV8m0E=")</f>
        <v>#REF!</v>
      </c>
      <c r="BO33" t="e">
        <f>AND(#REF!,"AAAAABV8m0I=")</f>
        <v>#REF!</v>
      </c>
      <c r="BP33" t="e">
        <f>AND(#REF!,"AAAAABV8m0M=")</f>
        <v>#REF!</v>
      </c>
      <c r="BQ33" t="e">
        <f>AND(#REF!,"AAAAABV8m0Q=")</f>
        <v>#REF!</v>
      </c>
      <c r="BR33" t="e">
        <f>AND(#REF!,"AAAAABV8m0U=")</f>
        <v>#REF!</v>
      </c>
      <c r="BS33" t="e">
        <f>AND(#REF!,"AAAAABV8m0Y=")</f>
        <v>#REF!</v>
      </c>
      <c r="BT33" t="e">
        <f>AND(#REF!,"AAAAABV8m0c=")</f>
        <v>#REF!</v>
      </c>
      <c r="BU33" t="e">
        <f>AND(#REF!,"AAAAABV8m0g=")</f>
        <v>#REF!</v>
      </c>
      <c r="BV33" t="e">
        <f>AND(#REF!,"AAAAABV8m0k=")</f>
        <v>#REF!</v>
      </c>
      <c r="BW33" t="e">
        <f>AND(#REF!,"AAAAABV8m0o=")</f>
        <v>#REF!</v>
      </c>
      <c r="BX33" t="e">
        <f>AND(#REF!,"AAAAABV8m0s=")</f>
        <v>#REF!</v>
      </c>
      <c r="BY33" t="e">
        <f>AND(#REF!,"AAAAABV8m0w=")</f>
        <v>#REF!</v>
      </c>
      <c r="BZ33" t="e">
        <f>IF(#REF!,"AAAAABV8m00=",0)</f>
        <v>#REF!</v>
      </c>
      <c r="CA33" t="e">
        <f>AND(#REF!,"AAAAABV8m04=")</f>
        <v>#REF!</v>
      </c>
      <c r="CB33" t="e">
        <f>AND(#REF!,"AAAAABV8m08=")</f>
        <v>#REF!</v>
      </c>
      <c r="CC33" t="e">
        <f>AND(#REF!,"AAAAABV8m1A=")</f>
        <v>#REF!</v>
      </c>
      <c r="CD33" t="e">
        <f>AND(#REF!,"AAAAABV8m1E=")</f>
        <v>#REF!</v>
      </c>
      <c r="CE33" t="e">
        <f>AND(#REF!,"AAAAABV8m1I=")</f>
        <v>#REF!</v>
      </c>
      <c r="CF33" t="e">
        <f>AND(#REF!,"AAAAABV8m1M=")</f>
        <v>#REF!</v>
      </c>
      <c r="CG33" t="e">
        <f>AND(#REF!,"AAAAABV8m1Q=")</f>
        <v>#REF!</v>
      </c>
      <c r="CH33" t="e">
        <f>AND(#REF!,"AAAAABV8m1U=")</f>
        <v>#REF!</v>
      </c>
      <c r="CI33" t="e">
        <f>AND(#REF!,"AAAAABV8m1Y=")</f>
        <v>#REF!</v>
      </c>
      <c r="CJ33" t="e">
        <f>AND(#REF!,"AAAAABV8m1c=")</f>
        <v>#REF!</v>
      </c>
      <c r="CK33" t="e">
        <f>AND(#REF!,"AAAAABV8m1g=")</f>
        <v>#REF!</v>
      </c>
      <c r="CL33" t="e">
        <f>AND(#REF!,"AAAAABV8m1k=")</f>
        <v>#REF!</v>
      </c>
      <c r="CM33" t="e">
        <f>AND(#REF!,"AAAAABV8m1o=")</f>
        <v>#REF!</v>
      </c>
      <c r="CN33" t="e">
        <f>AND(#REF!,"AAAAABV8m1s=")</f>
        <v>#REF!</v>
      </c>
      <c r="CO33" t="e">
        <f>AND(#REF!,"AAAAABV8m1w=")</f>
        <v>#REF!</v>
      </c>
      <c r="CP33" t="e">
        <f>IF(#REF!,"AAAAABV8m10=",0)</f>
        <v>#REF!</v>
      </c>
      <c r="CQ33" t="e">
        <f>AND(#REF!,"AAAAABV8m14=")</f>
        <v>#REF!</v>
      </c>
      <c r="CR33" t="e">
        <f>AND(#REF!,"AAAAABV8m18=")</f>
        <v>#REF!</v>
      </c>
      <c r="CS33" t="e">
        <f>AND(#REF!,"AAAAABV8m2A=")</f>
        <v>#REF!</v>
      </c>
      <c r="CT33" t="e">
        <f>AND(#REF!,"AAAAABV8m2E=")</f>
        <v>#REF!</v>
      </c>
      <c r="CU33" t="e">
        <f>AND(#REF!,"AAAAABV8m2I=")</f>
        <v>#REF!</v>
      </c>
      <c r="CV33" t="e">
        <f>AND(#REF!,"AAAAABV8m2M=")</f>
        <v>#REF!</v>
      </c>
      <c r="CW33" t="e">
        <f>AND(#REF!,"AAAAABV8m2Q=")</f>
        <v>#REF!</v>
      </c>
      <c r="CX33" t="e">
        <f>AND(#REF!,"AAAAABV8m2U=")</f>
        <v>#REF!</v>
      </c>
      <c r="CY33" t="e">
        <f>AND(#REF!,"AAAAABV8m2Y=")</f>
        <v>#REF!</v>
      </c>
      <c r="CZ33" t="e">
        <f>AND(#REF!,"AAAAABV8m2c=")</f>
        <v>#REF!</v>
      </c>
      <c r="DA33" t="e">
        <f>AND(#REF!,"AAAAABV8m2g=")</f>
        <v>#REF!</v>
      </c>
      <c r="DB33" t="e">
        <f>AND(#REF!,"AAAAABV8m2k=")</f>
        <v>#REF!</v>
      </c>
      <c r="DC33" t="e">
        <f>AND(#REF!,"AAAAABV8m2o=")</f>
        <v>#REF!</v>
      </c>
      <c r="DD33" t="e">
        <f>AND(#REF!,"AAAAABV8m2s=")</f>
        <v>#REF!</v>
      </c>
      <c r="DE33" t="e">
        <f>AND(#REF!,"AAAAABV8m2w=")</f>
        <v>#REF!</v>
      </c>
      <c r="DF33" t="e">
        <f>IF(#REF!,"AAAAABV8m20=",0)</f>
        <v>#REF!</v>
      </c>
      <c r="DG33" t="e">
        <f>AND(#REF!,"AAAAABV8m24=")</f>
        <v>#REF!</v>
      </c>
      <c r="DH33" t="e">
        <f>AND(#REF!,"AAAAABV8m28=")</f>
        <v>#REF!</v>
      </c>
      <c r="DI33" t="e">
        <f>AND(#REF!,"AAAAABV8m3A=")</f>
        <v>#REF!</v>
      </c>
      <c r="DJ33" t="e">
        <f>AND(#REF!,"AAAAABV8m3E=")</f>
        <v>#REF!</v>
      </c>
      <c r="DK33" t="e">
        <f>AND(#REF!,"AAAAABV8m3I=")</f>
        <v>#REF!</v>
      </c>
      <c r="DL33" t="e">
        <f>AND(#REF!,"AAAAABV8m3M=")</f>
        <v>#REF!</v>
      </c>
      <c r="DM33" t="e">
        <f>AND(#REF!,"AAAAABV8m3Q=")</f>
        <v>#REF!</v>
      </c>
      <c r="DN33" t="e">
        <f>AND(#REF!,"AAAAABV8m3U=")</f>
        <v>#REF!</v>
      </c>
      <c r="DO33" t="e">
        <f>AND(#REF!,"AAAAABV8m3Y=")</f>
        <v>#REF!</v>
      </c>
      <c r="DP33" t="e">
        <f>AND(#REF!,"AAAAABV8m3c=")</f>
        <v>#REF!</v>
      </c>
      <c r="DQ33" t="e">
        <f>AND(#REF!,"AAAAABV8m3g=")</f>
        <v>#REF!</v>
      </c>
      <c r="DR33" t="e">
        <f>AND(#REF!,"AAAAABV8m3k=")</f>
        <v>#REF!</v>
      </c>
      <c r="DS33" t="e">
        <f>AND(#REF!,"AAAAABV8m3o=")</f>
        <v>#REF!</v>
      </c>
      <c r="DT33" t="e">
        <f>AND(#REF!,"AAAAABV8m3s=")</f>
        <v>#REF!</v>
      </c>
      <c r="DU33" t="e">
        <f>AND(#REF!,"AAAAABV8m3w=")</f>
        <v>#REF!</v>
      </c>
      <c r="DV33" t="e">
        <f>IF(#REF!,"AAAAABV8m30=",0)</f>
        <v>#REF!</v>
      </c>
      <c r="DW33" t="e">
        <f>AND(#REF!,"AAAAABV8m34=")</f>
        <v>#REF!</v>
      </c>
      <c r="DX33" t="e">
        <f>AND(#REF!,"AAAAABV8m38=")</f>
        <v>#REF!</v>
      </c>
      <c r="DY33" t="e">
        <f>AND(#REF!,"AAAAABV8m4A=")</f>
        <v>#REF!</v>
      </c>
      <c r="DZ33" t="e">
        <f>AND(#REF!,"AAAAABV8m4E=")</f>
        <v>#REF!</v>
      </c>
      <c r="EA33" t="e">
        <f>AND(#REF!,"AAAAABV8m4I=")</f>
        <v>#REF!</v>
      </c>
      <c r="EB33" t="e">
        <f>AND(#REF!,"AAAAABV8m4M=")</f>
        <v>#REF!</v>
      </c>
      <c r="EC33" t="e">
        <f>AND(#REF!,"AAAAABV8m4Q=")</f>
        <v>#REF!</v>
      </c>
      <c r="ED33" t="e">
        <f>AND(#REF!,"AAAAABV8m4U=")</f>
        <v>#REF!</v>
      </c>
      <c r="EE33" t="e">
        <f>AND(#REF!,"AAAAABV8m4Y=")</f>
        <v>#REF!</v>
      </c>
      <c r="EF33" t="e">
        <f>AND(#REF!,"AAAAABV8m4c=")</f>
        <v>#REF!</v>
      </c>
      <c r="EG33" t="e">
        <f>AND(#REF!,"AAAAABV8m4g=")</f>
        <v>#REF!</v>
      </c>
      <c r="EH33" t="e">
        <f>AND(#REF!,"AAAAABV8m4k=")</f>
        <v>#REF!</v>
      </c>
      <c r="EI33" t="e">
        <f>AND(#REF!,"AAAAABV8m4o=")</f>
        <v>#REF!</v>
      </c>
      <c r="EJ33" t="e">
        <f>AND(#REF!,"AAAAABV8m4s=")</f>
        <v>#REF!</v>
      </c>
      <c r="EK33" t="e">
        <f>AND(#REF!,"AAAAABV8m4w=")</f>
        <v>#REF!</v>
      </c>
      <c r="EL33" t="e">
        <f>IF(#REF!,"AAAAABV8m40=",0)</f>
        <v>#REF!</v>
      </c>
      <c r="EM33" t="e">
        <f>AND(#REF!,"AAAAABV8m44=")</f>
        <v>#REF!</v>
      </c>
      <c r="EN33" t="e">
        <f>AND(#REF!,"AAAAABV8m48=")</f>
        <v>#REF!</v>
      </c>
      <c r="EO33" t="e">
        <f>AND(#REF!,"AAAAABV8m5A=")</f>
        <v>#REF!</v>
      </c>
      <c r="EP33" t="e">
        <f>AND(#REF!,"AAAAABV8m5E=")</f>
        <v>#REF!</v>
      </c>
      <c r="EQ33" t="e">
        <f>AND(#REF!,"AAAAABV8m5I=")</f>
        <v>#REF!</v>
      </c>
      <c r="ER33" t="e">
        <f>AND(#REF!,"AAAAABV8m5M=")</f>
        <v>#REF!</v>
      </c>
      <c r="ES33" t="e">
        <f>AND(#REF!,"AAAAABV8m5Q=")</f>
        <v>#REF!</v>
      </c>
      <c r="ET33" t="e">
        <f>AND(#REF!,"AAAAABV8m5U=")</f>
        <v>#REF!</v>
      </c>
      <c r="EU33" t="e">
        <f>AND(#REF!,"AAAAABV8m5Y=")</f>
        <v>#REF!</v>
      </c>
      <c r="EV33" t="e">
        <f>AND(#REF!,"AAAAABV8m5c=")</f>
        <v>#REF!</v>
      </c>
      <c r="EW33" t="e">
        <f>AND(#REF!,"AAAAABV8m5g=")</f>
        <v>#REF!</v>
      </c>
      <c r="EX33" t="e">
        <f>AND(#REF!,"AAAAABV8m5k=")</f>
        <v>#REF!</v>
      </c>
      <c r="EY33" t="e">
        <f>AND(#REF!,"AAAAABV8m5o=")</f>
        <v>#REF!</v>
      </c>
      <c r="EZ33" t="e">
        <f>AND(#REF!,"AAAAABV8m5s=")</f>
        <v>#REF!</v>
      </c>
      <c r="FA33" t="e">
        <f>AND(#REF!,"AAAAABV8m5w=")</f>
        <v>#REF!</v>
      </c>
      <c r="FB33" t="e">
        <f>IF(#REF!,"AAAAABV8m50=",0)</f>
        <v>#REF!</v>
      </c>
      <c r="FC33" t="e">
        <f>AND(#REF!,"AAAAABV8m54=")</f>
        <v>#REF!</v>
      </c>
      <c r="FD33" t="e">
        <f>AND(#REF!,"AAAAABV8m58=")</f>
        <v>#REF!</v>
      </c>
      <c r="FE33" t="e">
        <f>AND(#REF!,"AAAAABV8m6A=")</f>
        <v>#REF!</v>
      </c>
      <c r="FF33" t="e">
        <f>AND(#REF!,"AAAAABV8m6E=")</f>
        <v>#REF!</v>
      </c>
      <c r="FG33" t="e">
        <f>AND(#REF!,"AAAAABV8m6I=")</f>
        <v>#REF!</v>
      </c>
      <c r="FH33" t="e">
        <f>AND(#REF!,"AAAAABV8m6M=")</f>
        <v>#REF!</v>
      </c>
      <c r="FI33" t="e">
        <f>AND(#REF!,"AAAAABV8m6Q=")</f>
        <v>#REF!</v>
      </c>
      <c r="FJ33" t="e">
        <f>AND(#REF!,"AAAAABV8m6U=")</f>
        <v>#REF!</v>
      </c>
      <c r="FK33" t="e">
        <f>AND(#REF!,"AAAAABV8m6Y=")</f>
        <v>#REF!</v>
      </c>
      <c r="FL33" t="e">
        <f>AND(#REF!,"AAAAABV8m6c=")</f>
        <v>#REF!</v>
      </c>
      <c r="FM33" t="e">
        <f>AND(#REF!,"AAAAABV8m6g=")</f>
        <v>#REF!</v>
      </c>
      <c r="FN33" t="e">
        <f>AND(#REF!,"AAAAABV8m6k=")</f>
        <v>#REF!</v>
      </c>
      <c r="FO33" t="e">
        <f>AND(#REF!,"AAAAABV8m6o=")</f>
        <v>#REF!</v>
      </c>
      <c r="FP33" t="e">
        <f>AND(#REF!,"AAAAABV8m6s=")</f>
        <v>#REF!</v>
      </c>
      <c r="FQ33" t="e">
        <f>AND(#REF!,"AAAAABV8m6w=")</f>
        <v>#REF!</v>
      </c>
      <c r="FR33" t="e">
        <f>IF(#REF!,"AAAAABV8m60=",0)</f>
        <v>#REF!</v>
      </c>
      <c r="FS33" t="e">
        <f>AND(#REF!,"AAAAABV8m64=")</f>
        <v>#REF!</v>
      </c>
      <c r="FT33" t="e">
        <f>AND(#REF!,"AAAAABV8m68=")</f>
        <v>#REF!</v>
      </c>
      <c r="FU33" t="e">
        <f>AND(#REF!,"AAAAABV8m7A=")</f>
        <v>#REF!</v>
      </c>
      <c r="FV33" t="e">
        <f>AND(#REF!,"AAAAABV8m7E=")</f>
        <v>#REF!</v>
      </c>
      <c r="FW33" t="e">
        <f>AND(#REF!,"AAAAABV8m7I=")</f>
        <v>#REF!</v>
      </c>
      <c r="FX33" t="e">
        <f>AND(#REF!,"AAAAABV8m7M=")</f>
        <v>#REF!</v>
      </c>
      <c r="FY33" t="e">
        <f>AND(#REF!,"AAAAABV8m7Q=")</f>
        <v>#REF!</v>
      </c>
      <c r="FZ33" t="e">
        <f>AND(#REF!,"AAAAABV8m7U=")</f>
        <v>#REF!</v>
      </c>
      <c r="GA33" t="e">
        <f>AND(#REF!,"AAAAABV8m7Y=")</f>
        <v>#REF!</v>
      </c>
      <c r="GB33" t="e">
        <f>AND(#REF!,"AAAAABV8m7c=")</f>
        <v>#REF!</v>
      </c>
      <c r="GC33" t="e">
        <f>AND(#REF!,"AAAAABV8m7g=")</f>
        <v>#REF!</v>
      </c>
      <c r="GD33" t="e">
        <f>AND(#REF!,"AAAAABV8m7k=")</f>
        <v>#REF!</v>
      </c>
      <c r="GE33" t="e">
        <f>AND(#REF!,"AAAAABV8m7o=")</f>
        <v>#REF!</v>
      </c>
      <c r="GF33" t="e">
        <f>AND(#REF!,"AAAAABV8m7s=")</f>
        <v>#REF!</v>
      </c>
      <c r="GG33" t="e">
        <f>AND(#REF!,"AAAAABV8m7w=")</f>
        <v>#REF!</v>
      </c>
      <c r="GH33" t="e">
        <f>IF(#REF!,"AAAAABV8m70=",0)</f>
        <v>#REF!</v>
      </c>
      <c r="GI33" t="e">
        <f>AND(#REF!,"AAAAABV8m74=")</f>
        <v>#REF!</v>
      </c>
      <c r="GJ33" t="e">
        <f>AND(#REF!,"AAAAABV8m78=")</f>
        <v>#REF!</v>
      </c>
      <c r="GK33" t="e">
        <f>AND(#REF!,"AAAAABV8m8A=")</f>
        <v>#REF!</v>
      </c>
      <c r="GL33" t="e">
        <f>AND(#REF!,"AAAAABV8m8E=")</f>
        <v>#REF!</v>
      </c>
      <c r="GM33" t="e">
        <f>AND(#REF!,"AAAAABV8m8I=")</f>
        <v>#REF!</v>
      </c>
      <c r="GN33" t="e">
        <f>AND(#REF!,"AAAAABV8m8M=")</f>
        <v>#REF!</v>
      </c>
      <c r="GO33" t="e">
        <f>AND(#REF!,"AAAAABV8m8Q=")</f>
        <v>#REF!</v>
      </c>
      <c r="GP33" t="e">
        <f>AND(#REF!,"AAAAABV8m8U=")</f>
        <v>#REF!</v>
      </c>
      <c r="GQ33" t="e">
        <f>AND(#REF!,"AAAAABV8m8Y=")</f>
        <v>#REF!</v>
      </c>
      <c r="GR33" t="e">
        <f>AND(#REF!,"AAAAABV8m8c=")</f>
        <v>#REF!</v>
      </c>
      <c r="GS33" t="e">
        <f>AND(#REF!,"AAAAABV8m8g=")</f>
        <v>#REF!</v>
      </c>
      <c r="GT33" t="e">
        <f>AND(#REF!,"AAAAABV8m8k=")</f>
        <v>#REF!</v>
      </c>
      <c r="GU33" t="e">
        <f>AND(#REF!,"AAAAABV8m8o=")</f>
        <v>#REF!</v>
      </c>
      <c r="GV33" t="e">
        <f>AND(#REF!,"AAAAABV8m8s=")</f>
        <v>#REF!</v>
      </c>
      <c r="GW33" t="e">
        <f>AND(#REF!,"AAAAABV8m8w=")</f>
        <v>#REF!</v>
      </c>
      <c r="GX33" t="e">
        <f>IF(#REF!,"AAAAABV8m80=",0)</f>
        <v>#REF!</v>
      </c>
      <c r="GY33" t="e">
        <f>AND(#REF!,"AAAAABV8m84=")</f>
        <v>#REF!</v>
      </c>
      <c r="GZ33" t="e">
        <f>AND(#REF!,"AAAAABV8m88=")</f>
        <v>#REF!</v>
      </c>
      <c r="HA33" t="e">
        <f>AND(#REF!,"AAAAABV8m9A=")</f>
        <v>#REF!</v>
      </c>
      <c r="HB33" t="e">
        <f>AND(#REF!,"AAAAABV8m9E=")</f>
        <v>#REF!</v>
      </c>
      <c r="HC33" t="e">
        <f>AND(#REF!,"AAAAABV8m9I=")</f>
        <v>#REF!</v>
      </c>
      <c r="HD33" t="e">
        <f>AND(#REF!,"AAAAABV8m9M=")</f>
        <v>#REF!</v>
      </c>
      <c r="HE33" t="e">
        <f>AND(#REF!,"AAAAABV8m9Q=")</f>
        <v>#REF!</v>
      </c>
      <c r="HF33" t="e">
        <f>AND(#REF!,"AAAAABV8m9U=")</f>
        <v>#REF!</v>
      </c>
      <c r="HG33" t="e">
        <f>AND(#REF!,"AAAAABV8m9Y=")</f>
        <v>#REF!</v>
      </c>
      <c r="HH33" t="e">
        <f>AND(#REF!,"AAAAABV8m9c=")</f>
        <v>#REF!</v>
      </c>
      <c r="HI33" t="e">
        <f>AND(#REF!,"AAAAABV8m9g=")</f>
        <v>#REF!</v>
      </c>
      <c r="HJ33" t="e">
        <f>AND(#REF!,"AAAAABV8m9k=")</f>
        <v>#REF!</v>
      </c>
      <c r="HK33" t="e">
        <f>AND(#REF!,"AAAAABV8m9o=")</f>
        <v>#REF!</v>
      </c>
      <c r="HL33" t="e">
        <f>AND(#REF!,"AAAAABV8m9s=")</f>
        <v>#REF!</v>
      </c>
      <c r="HM33" t="e">
        <f>AND(#REF!,"AAAAABV8m9w=")</f>
        <v>#REF!</v>
      </c>
      <c r="HN33" t="e">
        <f>IF(#REF!,"AAAAABV8m90=",0)</f>
        <v>#REF!</v>
      </c>
      <c r="HO33" t="e">
        <f>AND(#REF!,"AAAAABV8m94=")</f>
        <v>#REF!</v>
      </c>
      <c r="HP33" t="e">
        <f>AND(#REF!,"AAAAABV8m98=")</f>
        <v>#REF!</v>
      </c>
      <c r="HQ33" t="e">
        <f>AND(#REF!,"AAAAABV8m+A=")</f>
        <v>#REF!</v>
      </c>
      <c r="HR33" t="e">
        <f>AND(#REF!,"AAAAABV8m+E=")</f>
        <v>#REF!</v>
      </c>
      <c r="HS33" t="e">
        <f>AND(#REF!,"AAAAABV8m+I=")</f>
        <v>#REF!</v>
      </c>
      <c r="HT33" t="e">
        <f>AND(#REF!,"AAAAABV8m+M=")</f>
        <v>#REF!</v>
      </c>
      <c r="HU33" t="e">
        <f>AND(#REF!,"AAAAABV8m+Q=")</f>
        <v>#REF!</v>
      </c>
      <c r="HV33" t="e">
        <f>AND(#REF!,"AAAAABV8m+U=")</f>
        <v>#REF!</v>
      </c>
      <c r="HW33" t="e">
        <f>AND(#REF!,"AAAAABV8m+Y=")</f>
        <v>#REF!</v>
      </c>
      <c r="HX33" t="e">
        <f>AND(#REF!,"AAAAABV8m+c=")</f>
        <v>#REF!</v>
      </c>
      <c r="HY33" t="e">
        <f>AND(#REF!,"AAAAABV8m+g=")</f>
        <v>#REF!</v>
      </c>
      <c r="HZ33" t="e">
        <f>AND(#REF!,"AAAAABV8m+k=")</f>
        <v>#REF!</v>
      </c>
      <c r="IA33" t="e">
        <f>AND(#REF!,"AAAAABV8m+o=")</f>
        <v>#REF!</v>
      </c>
      <c r="IB33" t="e">
        <f>AND(#REF!,"AAAAABV8m+s=")</f>
        <v>#REF!</v>
      </c>
      <c r="IC33" t="e">
        <f>AND(#REF!,"AAAAABV8m+w=")</f>
        <v>#REF!</v>
      </c>
      <c r="ID33" t="e">
        <f>IF(#REF!,"AAAAABV8m+0=",0)</f>
        <v>#REF!</v>
      </c>
      <c r="IE33" t="e">
        <f>AND(#REF!,"AAAAABV8m+4=")</f>
        <v>#REF!</v>
      </c>
      <c r="IF33" t="e">
        <f>AND(#REF!,"AAAAABV8m+8=")</f>
        <v>#REF!</v>
      </c>
      <c r="IG33" t="e">
        <f>AND(#REF!,"AAAAABV8m/A=")</f>
        <v>#REF!</v>
      </c>
      <c r="IH33" t="e">
        <f>AND(#REF!,"AAAAABV8m/E=")</f>
        <v>#REF!</v>
      </c>
      <c r="II33" t="e">
        <f>AND(#REF!,"AAAAABV8m/I=")</f>
        <v>#REF!</v>
      </c>
      <c r="IJ33" t="e">
        <f>AND(#REF!,"AAAAABV8m/M=")</f>
        <v>#REF!</v>
      </c>
      <c r="IK33" t="e">
        <f>AND(#REF!,"AAAAABV8m/Q=")</f>
        <v>#REF!</v>
      </c>
      <c r="IL33" t="e">
        <f>AND(#REF!,"AAAAABV8m/U=")</f>
        <v>#REF!</v>
      </c>
      <c r="IM33" t="e">
        <f>AND(#REF!,"AAAAABV8m/Y=")</f>
        <v>#REF!</v>
      </c>
      <c r="IN33" t="e">
        <f>AND(#REF!,"AAAAABV8m/c=")</f>
        <v>#REF!</v>
      </c>
      <c r="IO33" t="e">
        <f>AND(#REF!,"AAAAABV8m/g=")</f>
        <v>#REF!</v>
      </c>
      <c r="IP33" t="e">
        <f>AND(#REF!,"AAAAABV8m/k=")</f>
        <v>#REF!</v>
      </c>
      <c r="IQ33" t="e">
        <f>AND(#REF!,"AAAAABV8m/o=")</f>
        <v>#REF!</v>
      </c>
      <c r="IR33" t="e">
        <f>AND(#REF!,"AAAAABV8m/s=")</f>
        <v>#REF!</v>
      </c>
      <c r="IS33" t="e">
        <f>AND(#REF!,"AAAAABV8m/w=")</f>
        <v>#REF!</v>
      </c>
      <c r="IT33" t="e">
        <f>IF(#REF!,"AAAAABV8m/0=",0)</f>
        <v>#REF!</v>
      </c>
      <c r="IU33" t="e">
        <f>AND(#REF!,"AAAAABV8m/4=")</f>
        <v>#REF!</v>
      </c>
      <c r="IV33" t="e">
        <f>AND(#REF!,"AAAAABV8m/8=")</f>
        <v>#REF!</v>
      </c>
    </row>
    <row r="34" spans="1:256">
      <c r="A34" t="e">
        <f>AND(#REF!,"AAAAADv9xwA=")</f>
        <v>#REF!</v>
      </c>
      <c r="B34" t="e">
        <f>AND(#REF!,"AAAAADv9xwE=")</f>
        <v>#REF!</v>
      </c>
      <c r="C34" t="e">
        <f>AND(#REF!,"AAAAADv9xwI=")</f>
        <v>#REF!</v>
      </c>
      <c r="D34" t="e">
        <f>AND(#REF!,"AAAAADv9xwM=")</f>
        <v>#REF!</v>
      </c>
      <c r="E34" t="e">
        <f>AND(#REF!,"AAAAADv9xwQ=")</f>
        <v>#REF!</v>
      </c>
      <c r="F34" t="e">
        <f>AND(#REF!,"AAAAADv9xwU=")</f>
        <v>#REF!</v>
      </c>
      <c r="G34" t="e">
        <f>AND(#REF!,"AAAAADv9xwY=")</f>
        <v>#REF!</v>
      </c>
      <c r="H34" t="e">
        <f>AND(#REF!,"AAAAADv9xwc=")</f>
        <v>#REF!</v>
      </c>
      <c r="I34" t="e">
        <f>AND(#REF!,"AAAAADv9xwg=")</f>
        <v>#REF!</v>
      </c>
      <c r="J34" t="e">
        <f>AND(#REF!,"AAAAADv9xwk=")</f>
        <v>#REF!</v>
      </c>
      <c r="K34" t="e">
        <f>AND(#REF!,"AAAAADv9xwo=")</f>
        <v>#REF!</v>
      </c>
      <c r="L34" t="e">
        <f>AND(#REF!,"AAAAADv9xws=")</f>
        <v>#REF!</v>
      </c>
      <c r="M34" t="e">
        <f>AND(#REF!,"AAAAADv9xww=")</f>
        <v>#REF!</v>
      </c>
      <c r="N34" t="e">
        <f>IF(#REF!,"AAAAADv9xw0=",0)</f>
        <v>#REF!</v>
      </c>
      <c r="O34" t="e">
        <f>AND(#REF!,"AAAAADv9xw4=")</f>
        <v>#REF!</v>
      </c>
      <c r="P34" t="e">
        <f>AND(#REF!,"AAAAADv9xw8=")</f>
        <v>#REF!</v>
      </c>
      <c r="Q34" t="e">
        <f>AND(#REF!,"AAAAADv9xxA=")</f>
        <v>#REF!</v>
      </c>
      <c r="R34" t="e">
        <f>AND(#REF!,"AAAAADv9xxE=")</f>
        <v>#REF!</v>
      </c>
      <c r="S34" t="e">
        <f>AND(#REF!,"AAAAADv9xxI=")</f>
        <v>#REF!</v>
      </c>
      <c r="T34" t="e">
        <f>AND(#REF!,"AAAAADv9xxM=")</f>
        <v>#REF!</v>
      </c>
      <c r="U34" t="e">
        <f>AND(#REF!,"AAAAADv9xxQ=")</f>
        <v>#REF!</v>
      </c>
      <c r="V34" t="e">
        <f>AND(#REF!,"AAAAADv9xxU=")</f>
        <v>#REF!</v>
      </c>
      <c r="W34" t="e">
        <f>AND(#REF!,"AAAAADv9xxY=")</f>
        <v>#REF!</v>
      </c>
      <c r="X34" t="e">
        <f>AND(#REF!,"AAAAADv9xxc=")</f>
        <v>#REF!</v>
      </c>
      <c r="Y34" t="e">
        <f>AND(#REF!,"AAAAADv9xxg=")</f>
        <v>#REF!</v>
      </c>
      <c r="Z34" t="e">
        <f>AND(#REF!,"AAAAADv9xxk=")</f>
        <v>#REF!</v>
      </c>
      <c r="AA34" t="e">
        <f>AND(#REF!,"AAAAADv9xxo=")</f>
        <v>#REF!</v>
      </c>
      <c r="AB34" t="e">
        <f>AND(#REF!,"AAAAADv9xxs=")</f>
        <v>#REF!</v>
      </c>
      <c r="AC34" t="e">
        <f>AND(#REF!,"AAAAADv9xxw=")</f>
        <v>#REF!</v>
      </c>
      <c r="AD34" t="e">
        <f>IF(#REF!,"AAAAADv9xx0=",0)</f>
        <v>#REF!</v>
      </c>
      <c r="AE34" t="e">
        <f>IF(#REF!,"AAAAADv9xx4=",0)</f>
        <v>#REF!</v>
      </c>
      <c r="AF34" t="e">
        <f>IF(#REF!,"AAAAADv9xx8=",0)</f>
        <v>#REF!</v>
      </c>
      <c r="AG34" t="e">
        <f>IF(#REF!,"AAAAADv9xyA=",0)</f>
        <v>#REF!</v>
      </c>
      <c r="AH34" t="e">
        <f>IF(#REF!,"AAAAADv9xyE=",0)</f>
        <v>#REF!</v>
      </c>
      <c r="AI34" t="e">
        <f>IF(#REF!,"AAAAADv9xyI=",0)</f>
        <v>#REF!</v>
      </c>
      <c r="AJ34" t="e">
        <f>IF(#REF!,"AAAAADv9xyM=",0)</f>
        <v>#REF!</v>
      </c>
      <c r="AK34" t="e">
        <f>IF(#REF!,"AAAAADv9xyQ=",0)</f>
        <v>#REF!</v>
      </c>
      <c r="AL34" t="e">
        <f>IF(#REF!,"AAAAADv9xyU=",0)</f>
        <v>#REF!</v>
      </c>
      <c r="AM34" t="e">
        <f>IF(#REF!,"AAAAADv9xyY=",0)</f>
        <v>#REF!</v>
      </c>
      <c r="AN34" t="e">
        <f>IF(#REF!,"AAAAADv9xyc=",0)</f>
        <v>#REF!</v>
      </c>
      <c r="AO34" t="e">
        <f>IF(#REF!,"AAAAADv9xyg=",0)</f>
        <v>#REF!</v>
      </c>
      <c r="AP34" t="e">
        <f>IF(#REF!,"AAAAADv9xyk=",0)</f>
        <v>#REF!</v>
      </c>
      <c r="AQ34" t="e">
        <f>IF(#REF!,"AAAAADv9xyo=",0)</f>
        <v>#REF!</v>
      </c>
      <c r="AR34" t="e">
        <f>IF(#REF!,"AAAAADv9xys=",0)</f>
        <v>#REF!</v>
      </c>
      <c r="AS34" t="e">
        <f>IF(#REF!,"AAAAADv9xyw=",0)</f>
        <v>#REF!</v>
      </c>
      <c r="AT34" t="e">
        <f>IF(#REF!,"AAAAADv9xy0=",0)</f>
        <v>#REF!</v>
      </c>
      <c r="AU34" t="e">
        <f>AND(#REF!,"AAAAADv9xy4=")</f>
        <v>#REF!</v>
      </c>
      <c r="AV34" t="e">
        <f>AND(#REF!,"AAAAADv9xy8=")</f>
        <v>#REF!</v>
      </c>
      <c r="AW34" t="e">
        <f>AND(#REF!,"AAAAADv9xzA=")</f>
        <v>#REF!</v>
      </c>
      <c r="AX34" t="e">
        <f>AND(#REF!,"AAAAADv9xzE=")</f>
        <v>#REF!</v>
      </c>
      <c r="AY34" t="e">
        <f>AND(#REF!,"AAAAADv9xzI=")</f>
        <v>#REF!</v>
      </c>
      <c r="AZ34" t="e">
        <f>AND(#REF!,"AAAAADv9xzM=")</f>
        <v>#REF!</v>
      </c>
      <c r="BA34" t="e">
        <f>AND(#REF!,"AAAAADv9xzQ=")</f>
        <v>#REF!</v>
      </c>
      <c r="BB34" t="e">
        <f>AND(#REF!,"AAAAADv9xzU=")</f>
        <v>#REF!</v>
      </c>
      <c r="BC34" t="e">
        <f>AND(#REF!,"AAAAADv9xzY=")</f>
        <v>#REF!</v>
      </c>
      <c r="BD34" t="e">
        <f>AND(#REF!,"AAAAADv9xzc=")</f>
        <v>#REF!</v>
      </c>
      <c r="BE34" t="e">
        <f>AND(#REF!,"AAAAADv9xzg=")</f>
        <v>#REF!</v>
      </c>
      <c r="BF34" t="e">
        <f>AND(#REF!,"AAAAADv9xzk=")</f>
        <v>#REF!</v>
      </c>
      <c r="BG34" t="e">
        <f>AND(#REF!,"AAAAADv9xzo=")</f>
        <v>#REF!</v>
      </c>
      <c r="BH34" t="e">
        <f>AND(#REF!,"AAAAADv9xzs=")</f>
        <v>#REF!</v>
      </c>
      <c r="BI34" t="e">
        <f>AND(#REF!,"AAAAADv9xzw=")</f>
        <v>#REF!</v>
      </c>
      <c r="BJ34" t="e">
        <f>AND(#REF!,"AAAAADv9xz0=")</f>
        <v>#REF!</v>
      </c>
      <c r="BK34" t="e">
        <f>AND(#REF!,"AAAAADv9xz4=")</f>
        <v>#REF!</v>
      </c>
      <c r="BL34" t="e">
        <f>AND(#REF!,"AAAAADv9xz8=")</f>
        <v>#REF!</v>
      </c>
      <c r="BM34" t="e">
        <f>AND(#REF!,"AAAAADv9x0A=")</f>
        <v>#REF!</v>
      </c>
      <c r="BN34" t="e">
        <f>AND(#REF!,"AAAAADv9x0E=")</f>
        <v>#REF!</v>
      </c>
      <c r="BO34" t="e">
        <f>AND(#REF!,"AAAAADv9x0I=")</f>
        <v>#REF!</v>
      </c>
      <c r="BP34" t="e">
        <f>IF(#REF!,"AAAAADv9x0M=",0)</f>
        <v>#REF!</v>
      </c>
      <c r="BQ34" t="e">
        <f>AND(#REF!,"AAAAADv9x0Q=")</f>
        <v>#REF!</v>
      </c>
      <c r="BR34" t="e">
        <f>AND(#REF!,"AAAAADv9x0U=")</f>
        <v>#REF!</v>
      </c>
      <c r="BS34" t="e">
        <f>AND(#REF!,"AAAAADv9x0Y=")</f>
        <v>#REF!</v>
      </c>
      <c r="BT34" t="e">
        <f>AND(#REF!,"AAAAADv9x0c=")</f>
        <v>#REF!</v>
      </c>
      <c r="BU34" t="e">
        <f>AND(#REF!,"AAAAADv9x0g=")</f>
        <v>#REF!</v>
      </c>
      <c r="BV34" t="e">
        <f>AND(#REF!,"AAAAADv9x0k=")</f>
        <v>#REF!</v>
      </c>
      <c r="BW34" t="e">
        <f>AND(#REF!,"AAAAADv9x0o=")</f>
        <v>#REF!</v>
      </c>
      <c r="BX34" t="e">
        <f>AND(#REF!,"AAAAADv9x0s=")</f>
        <v>#REF!</v>
      </c>
      <c r="BY34" t="e">
        <f>AND(#REF!,"AAAAADv9x0w=")</f>
        <v>#REF!</v>
      </c>
      <c r="BZ34" t="e">
        <f>AND(#REF!,"AAAAADv9x00=")</f>
        <v>#REF!</v>
      </c>
      <c r="CA34" t="e">
        <f>AND(#REF!,"AAAAADv9x04=")</f>
        <v>#REF!</v>
      </c>
      <c r="CB34" t="e">
        <f>AND(#REF!,"AAAAADv9x08=")</f>
        <v>#REF!</v>
      </c>
      <c r="CC34" t="e">
        <f>AND(#REF!,"AAAAADv9x1A=")</f>
        <v>#REF!</v>
      </c>
      <c r="CD34" t="e">
        <f>AND(#REF!,"AAAAADv9x1E=")</f>
        <v>#REF!</v>
      </c>
      <c r="CE34" t="e">
        <f>AND(#REF!,"AAAAADv9x1I=")</f>
        <v>#REF!</v>
      </c>
      <c r="CF34" t="e">
        <f>AND(#REF!,"AAAAADv9x1M=")</f>
        <v>#REF!</v>
      </c>
      <c r="CG34" t="e">
        <f>AND(#REF!,"AAAAADv9x1Q=")</f>
        <v>#REF!</v>
      </c>
      <c r="CH34" t="e">
        <f>AND(#REF!,"AAAAADv9x1U=")</f>
        <v>#REF!</v>
      </c>
      <c r="CI34" t="e">
        <f>AND(#REF!,"AAAAADv9x1Y=")</f>
        <v>#REF!</v>
      </c>
      <c r="CJ34" t="e">
        <f>AND(#REF!,"AAAAADv9x1c=")</f>
        <v>#REF!</v>
      </c>
      <c r="CK34" t="e">
        <f>AND(#REF!,"AAAAADv9x1g=")</f>
        <v>#REF!</v>
      </c>
      <c r="CL34" t="e">
        <f>IF(#REF!,"AAAAADv9x1k=",0)</f>
        <v>#REF!</v>
      </c>
      <c r="CM34" t="e">
        <f>AND(#REF!,"AAAAADv9x1o=")</f>
        <v>#REF!</v>
      </c>
      <c r="CN34" t="e">
        <f>AND(#REF!,"AAAAADv9x1s=")</f>
        <v>#REF!</v>
      </c>
      <c r="CO34" t="e">
        <f>AND(#REF!,"AAAAADv9x1w=")</f>
        <v>#REF!</v>
      </c>
      <c r="CP34" t="e">
        <f>AND(#REF!,"AAAAADv9x10=")</f>
        <v>#REF!</v>
      </c>
      <c r="CQ34" t="e">
        <f>AND(#REF!,"AAAAADv9x14=")</f>
        <v>#REF!</v>
      </c>
      <c r="CR34" t="e">
        <f>AND(#REF!,"AAAAADv9x18=")</f>
        <v>#REF!</v>
      </c>
      <c r="CS34" t="e">
        <f>AND(#REF!,"AAAAADv9x2A=")</f>
        <v>#REF!</v>
      </c>
      <c r="CT34" t="e">
        <f>AND(#REF!,"AAAAADv9x2E=")</f>
        <v>#REF!</v>
      </c>
      <c r="CU34" t="e">
        <f>AND(#REF!,"AAAAADv9x2I=")</f>
        <v>#REF!</v>
      </c>
      <c r="CV34" t="e">
        <f>AND(#REF!,"AAAAADv9x2M=")</f>
        <v>#REF!</v>
      </c>
      <c r="CW34" t="e">
        <f>AND(#REF!,"AAAAADv9x2Q=")</f>
        <v>#REF!</v>
      </c>
      <c r="CX34" t="e">
        <f>AND(#REF!,"AAAAADv9x2U=")</f>
        <v>#REF!</v>
      </c>
      <c r="CY34" t="e">
        <f>AND(#REF!,"AAAAADv9x2Y=")</f>
        <v>#REF!</v>
      </c>
      <c r="CZ34" t="e">
        <f>AND(#REF!,"AAAAADv9x2c=")</f>
        <v>#REF!</v>
      </c>
      <c r="DA34" t="e">
        <f>AND(#REF!,"AAAAADv9x2g=")</f>
        <v>#REF!</v>
      </c>
      <c r="DB34" t="e">
        <f>AND(#REF!,"AAAAADv9x2k=")</f>
        <v>#REF!</v>
      </c>
      <c r="DC34" t="e">
        <f>AND(#REF!,"AAAAADv9x2o=")</f>
        <v>#REF!</v>
      </c>
      <c r="DD34" t="e">
        <f>AND(#REF!,"AAAAADv9x2s=")</f>
        <v>#REF!</v>
      </c>
      <c r="DE34" t="e">
        <f>AND(#REF!,"AAAAADv9x2w=")</f>
        <v>#REF!</v>
      </c>
      <c r="DF34" t="e">
        <f>AND(#REF!,"AAAAADv9x20=")</f>
        <v>#REF!</v>
      </c>
      <c r="DG34" t="e">
        <f>AND(#REF!,"AAAAADv9x24=")</f>
        <v>#REF!</v>
      </c>
      <c r="DH34" t="e">
        <f>IF(#REF!,"AAAAADv9x28=",0)</f>
        <v>#REF!</v>
      </c>
      <c r="DI34" t="e">
        <f>AND(#REF!,"AAAAADv9x3A=")</f>
        <v>#REF!</v>
      </c>
      <c r="DJ34" t="e">
        <f>AND(#REF!,"AAAAADv9x3E=")</f>
        <v>#REF!</v>
      </c>
      <c r="DK34" t="e">
        <f>AND(#REF!,"AAAAADv9x3I=")</f>
        <v>#REF!</v>
      </c>
      <c r="DL34" t="e">
        <f>AND(#REF!,"AAAAADv9x3M=")</f>
        <v>#REF!</v>
      </c>
      <c r="DM34" t="e">
        <f>AND(#REF!,"AAAAADv9x3Q=")</f>
        <v>#REF!</v>
      </c>
      <c r="DN34" t="e">
        <f>AND(#REF!,"AAAAADv9x3U=")</f>
        <v>#REF!</v>
      </c>
      <c r="DO34" t="e">
        <f>AND(#REF!,"AAAAADv9x3Y=")</f>
        <v>#REF!</v>
      </c>
      <c r="DP34" t="e">
        <f>AND(#REF!,"AAAAADv9x3c=")</f>
        <v>#REF!</v>
      </c>
      <c r="DQ34" t="e">
        <f>AND(#REF!,"AAAAADv9x3g=")</f>
        <v>#REF!</v>
      </c>
      <c r="DR34" t="e">
        <f>AND(#REF!,"AAAAADv9x3k=")</f>
        <v>#REF!</v>
      </c>
      <c r="DS34" t="e">
        <f>AND(#REF!,"AAAAADv9x3o=")</f>
        <v>#REF!</v>
      </c>
      <c r="DT34" t="e">
        <f>AND(#REF!,"AAAAADv9x3s=")</f>
        <v>#REF!</v>
      </c>
      <c r="DU34" t="e">
        <f>AND(#REF!,"AAAAADv9x3w=")</f>
        <v>#REF!</v>
      </c>
      <c r="DV34" t="e">
        <f>AND(#REF!,"AAAAADv9x30=")</f>
        <v>#REF!</v>
      </c>
      <c r="DW34" t="e">
        <f>AND(#REF!,"AAAAADv9x34=")</f>
        <v>#REF!</v>
      </c>
      <c r="DX34" t="e">
        <f>AND(#REF!,"AAAAADv9x38=")</f>
        <v>#REF!</v>
      </c>
      <c r="DY34" t="e">
        <f>AND(#REF!,"AAAAADv9x4A=")</f>
        <v>#REF!</v>
      </c>
      <c r="DZ34" t="e">
        <f>AND(#REF!,"AAAAADv9x4E=")</f>
        <v>#REF!</v>
      </c>
      <c r="EA34" t="e">
        <f>AND(#REF!,"AAAAADv9x4I=")</f>
        <v>#REF!</v>
      </c>
      <c r="EB34" t="e">
        <f>AND(#REF!,"AAAAADv9x4M=")</f>
        <v>#REF!</v>
      </c>
      <c r="EC34" t="e">
        <f>AND(#REF!,"AAAAADv9x4Q=")</f>
        <v>#REF!</v>
      </c>
      <c r="ED34" t="e">
        <f>IF(#REF!,"AAAAADv9x4U=",0)</f>
        <v>#REF!</v>
      </c>
      <c r="EE34" t="e">
        <f>AND(#REF!,"AAAAADv9x4Y=")</f>
        <v>#REF!</v>
      </c>
      <c r="EF34" t="e">
        <f>AND(#REF!,"AAAAADv9x4c=")</f>
        <v>#REF!</v>
      </c>
      <c r="EG34" t="e">
        <f>AND(#REF!,"AAAAADv9x4g=")</f>
        <v>#REF!</v>
      </c>
      <c r="EH34" t="e">
        <f>AND(#REF!,"AAAAADv9x4k=")</f>
        <v>#REF!</v>
      </c>
      <c r="EI34" t="e">
        <f>AND(#REF!,"AAAAADv9x4o=")</f>
        <v>#REF!</v>
      </c>
      <c r="EJ34" t="e">
        <f>AND(#REF!,"AAAAADv9x4s=")</f>
        <v>#REF!</v>
      </c>
      <c r="EK34" t="e">
        <f>AND(#REF!,"AAAAADv9x4w=")</f>
        <v>#REF!</v>
      </c>
      <c r="EL34" t="e">
        <f>AND(#REF!,"AAAAADv9x40=")</f>
        <v>#REF!</v>
      </c>
      <c r="EM34" t="e">
        <f>AND(#REF!,"AAAAADv9x44=")</f>
        <v>#REF!</v>
      </c>
      <c r="EN34" t="e">
        <f>AND(#REF!,"AAAAADv9x48=")</f>
        <v>#REF!</v>
      </c>
      <c r="EO34" t="e">
        <f>AND(#REF!,"AAAAADv9x5A=")</f>
        <v>#REF!</v>
      </c>
      <c r="EP34" t="e">
        <f>AND(#REF!,"AAAAADv9x5E=")</f>
        <v>#REF!</v>
      </c>
      <c r="EQ34" t="e">
        <f>AND(#REF!,"AAAAADv9x5I=")</f>
        <v>#REF!</v>
      </c>
      <c r="ER34" t="e">
        <f>AND(#REF!,"AAAAADv9x5M=")</f>
        <v>#REF!</v>
      </c>
      <c r="ES34" t="e">
        <f>AND(#REF!,"AAAAADv9x5Q=")</f>
        <v>#REF!</v>
      </c>
      <c r="ET34" t="e">
        <f>AND(#REF!,"AAAAADv9x5U=")</f>
        <v>#REF!</v>
      </c>
      <c r="EU34" t="e">
        <f>AND(#REF!,"AAAAADv9x5Y=")</f>
        <v>#REF!</v>
      </c>
      <c r="EV34" t="e">
        <f>AND(#REF!,"AAAAADv9x5c=")</f>
        <v>#REF!</v>
      </c>
      <c r="EW34" t="e">
        <f>AND(#REF!,"AAAAADv9x5g=")</f>
        <v>#REF!</v>
      </c>
      <c r="EX34" t="e">
        <f>AND(#REF!,"AAAAADv9x5k=")</f>
        <v>#REF!</v>
      </c>
      <c r="EY34" t="e">
        <f>AND(#REF!,"AAAAADv9x5o=")</f>
        <v>#REF!</v>
      </c>
      <c r="EZ34" t="e">
        <f>IF(#REF!,"AAAAADv9x5s=",0)</f>
        <v>#REF!</v>
      </c>
      <c r="FA34" t="e">
        <f>AND(#REF!,"AAAAADv9x5w=")</f>
        <v>#REF!</v>
      </c>
      <c r="FB34" t="e">
        <f>AND(#REF!,"AAAAADv9x50=")</f>
        <v>#REF!</v>
      </c>
      <c r="FC34" t="e">
        <f>AND(#REF!,"AAAAADv9x54=")</f>
        <v>#REF!</v>
      </c>
      <c r="FD34" t="e">
        <f>AND(#REF!,"AAAAADv9x58=")</f>
        <v>#REF!</v>
      </c>
      <c r="FE34" t="e">
        <f>AND(#REF!,"AAAAADv9x6A=")</f>
        <v>#REF!</v>
      </c>
      <c r="FF34" t="e">
        <f>AND(#REF!,"AAAAADv9x6E=")</f>
        <v>#REF!</v>
      </c>
      <c r="FG34" t="e">
        <f>AND(#REF!,"AAAAADv9x6I=")</f>
        <v>#REF!</v>
      </c>
      <c r="FH34" t="e">
        <f>AND(#REF!,"AAAAADv9x6M=")</f>
        <v>#REF!</v>
      </c>
      <c r="FI34" t="e">
        <f>AND(#REF!,"AAAAADv9x6Q=")</f>
        <v>#REF!</v>
      </c>
      <c r="FJ34" t="e">
        <f>AND(#REF!,"AAAAADv9x6U=")</f>
        <v>#REF!</v>
      </c>
      <c r="FK34" t="e">
        <f>AND(#REF!,"AAAAADv9x6Y=")</f>
        <v>#REF!</v>
      </c>
      <c r="FL34" t="e">
        <f>AND(#REF!,"AAAAADv9x6c=")</f>
        <v>#REF!</v>
      </c>
      <c r="FM34" t="e">
        <f>AND(#REF!,"AAAAADv9x6g=")</f>
        <v>#REF!</v>
      </c>
      <c r="FN34" t="e">
        <f>AND(#REF!,"AAAAADv9x6k=")</f>
        <v>#REF!</v>
      </c>
      <c r="FO34" t="e">
        <f>AND(#REF!,"AAAAADv9x6o=")</f>
        <v>#REF!</v>
      </c>
      <c r="FP34" t="e">
        <f>AND(#REF!,"AAAAADv9x6s=")</f>
        <v>#REF!</v>
      </c>
      <c r="FQ34" t="e">
        <f>AND(#REF!,"AAAAADv9x6w=")</f>
        <v>#REF!</v>
      </c>
      <c r="FR34" t="e">
        <f>AND(#REF!,"AAAAADv9x60=")</f>
        <v>#REF!</v>
      </c>
      <c r="FS34" t="e">
        <f>AND(#REF!,"AAAAADv9x64=")</f>
        <v>#REF!</v>
      </c>
      <c r="FT34" t="e">
        <f>AND(#REF!,"AAAAADv9x68=")</f>
        <v>#REF!</v>
      </c>
      <c r="FU34" t="e">
        <f>AND(#REF!,"AAAAADv9x7A=")</f>
        <v>#REF!</v>
      </c>
      <c r="FV34" t="e">
        <f>IF(#REF!,"AAAAADv9x7E=",0)</f>
        <v>#REF!</v>
      </c>
      <c r="FW34" t="e">
        <f>AND(#REF!,"AAAAADv9x7I=")</f>
        <v>#REF!</v>
      </c>
      <c r="FX34" t="e">
        <f>AND(#REF!,"AAAAADv9x7M=")</f>
        <v>#REF!</v>
      </c>
      <c r="FY34" t="e">
        <f>AND(#REF!,"AAAAADv9x7Q=")</f>
        <v>#REF!</v>
      </c>
      <c r="FZ34" t="e">
        <f>AND(#REF!,"AAAAADv9x7U=")</f>
        <v>#REF!</v>
      </c>
      <c r="GA34" t="e">
        <f>AND(#REF!,"AAAAADv9x7Y=")</f>
        <v>#REF!</v>
      </c>
      <c r="GB34" t="e">
        <f>AND(#REF!,"AAAAADv9x7c=")</f>
        <v>#REF!</v>
      </c>
      <c r="GC34" t="e">
        <f>AND(#REF!,"AAAAADv9x7g=")</f>
        <v>#REF!</v>
      </c>
      <c r="GD34" t="e">
        <f>AND(#REF!,"AAAAADv9x7k=")</f>
        <v>#REF!</v>
      </c>
      <c r="GE34" t="e">
        <f>AND(#REF!,"AAAAADv9x7o=")</f>
        <v>#REF!</v>
      </c>
      <c r="GF34" t="e">
        <f>AND(#REF!,"AAAAADv9x7s=")</f>
        <v>#REF!</v>
      </c>
      <c r="GG34" t="e">
        <f>AND(#REF!,"AAAAADv9x7w=")</f>
        <v>#REF!</v>
      </c>
      <c r="GH34" t="e">
        <f>AND(#REF!,"AAAAADv9x70=")</f>
        <v>#REF!</v>
      </c>
      <c r="GI34" t="e">
        <f>AND(#REF!,"AAAAADv9x74=")</f>
        <v>#REF!</v>
      </c>
      <c r="GJ34" t="e">
        <f>AND(#REF!,"AAAAADv9x78=")</f>
        <v>#REF!</v>
      </c>
      <c r="GK34" t="e">
        <f>AND(#REF!,"AAAAADv9x8A=")</f>
        <v>#REF!</v>
      </c>
      <c r="GL34" t="e">
        <f>AND(#REF!,"AAAAADv9x8E=")</f>
        <v>#REF!</v>
      </c>
      <c r="GM34" t="e">
        <f>AND(#REF!,"AAAAADv9x8I=")</f>
        <v>#REF!</v>
      </c>
      <c r="GN34" t="e">
        <f>AND(#REF!,"AAAAADv9x8M=")</f>
        <v>#REF!</v>
      </c>
      <c r="GO34" t="e">
        <f>AND(#REF!,"AAAAADv9x8Q=")</f>
        <v>#REF!</v>
      </c>
      <c r="GP34" t="e">
        <f>AND(#REF!,"AAAAADv9x8U=")</f>
        <v>#REF!</v>
      </c>
      <c r="GQ34" t="e">
        <f>AND(#REF!,"AAAAADv9x8Y=")</f>
        <v>#REF!</v>
      </c>
      <c r="GR34" t="e">
        <f>IF(#REF!,"AAAAADv9x8c=",0)</f>
        <v>#REF!</v>
      </c>
      <c r="GS34" t="e">
        <f>AND(#REF!,"AAAAADv9x8g=")</f>
        <v>#REF!</v>
      </c>
      <c r="GT34" t="e">
        <f>AND(#REF!,"AAAAADv9x8k=")</f>
        <v>#REF!</v>
      </c>
      <c r="GU34" t="e">
        <f>AND(#REF!,"AAAAADv9x8o=")</f>
        <v>#REF!</v>
      </c>
      <c r="GV34" t="e">
        <f>AND(#REF!,"AAAAADv9x8s=")</f>
        <v>#REF!</v>
      </c>
      <c r="GW34" t="e">
        <f>AND(#REF!,"AAAAADv9x8w=")</f>
        <v>#REF!</v>
      </c>
      <c r="GX34" t="e">
        <f>AND(#REF!,"AAAAADv9x80=")</f>
        <v>#REF!</v>
      </c>
      <c r="GY34" t="e">
        <f>AND(#REF!,"AAAAADv9x84=")</f>
        <v>#REF!</v>
      </c>
      <c r="GZ34" t="e">
        <f>AND(#REF!,"AAAAADv9x88=")</f>
        <v>#REF!</v>
      </c>
      <c r="HA34" t="e">
        <f>AND(#REF!,"AAAAADv9x9A=")</f>
        <v>#REF!</v>
      </c>
      <c r="HB34" t="e">
        <f>AND(#REF!,"AAAAADv9x9E=")</f>
        <v>#REF!</v>
      </c>
      <c r="HC34" t="e">
        <f>AND(#REF!,"AAAAADv9x9I=")</f>
        <v>#REF!</v>
      </c>
      <c r="HD34" t="e">
        <f>AND(#REF!,"AAAAADv9x9M=")</f>
        <v>#REF!</v>
      </c>
      <c r="HE34" t="e">
        <f>AND(#REF!,"AAAAADv9x9Q=")</f>
        <v>#REF!</v>
      </c>
      <c r="HF34" t="e">
        <f>AND(#REF!,"AAAAADv9x9U=")</f>
        <v>#REF!</v>
      </c>
      <c r="HG34" t="e">
        <f>AND(#REF!,"AAAAADv9x9Y=")</f>
        <v>#REF!</v>
      </c>
      <c r="HH34" t="e">
        <f>AND(#REF!,"AAAAADv9x9c=")</f>
        <v>#REF!</v>
      </c>
      <c r="HI34" t="e">
        <f>AND(#REF!,"AAAAADv9x9g=")</f>
        <v>#REF!</v>
      </c>
      <c r="HJ34" t="e">
        <f>AND(#REF!,"AAAAADv9x9k=")</f>
        <v>#REF!</v>
      </c>
      <c r="HK34" t="e">
        <f>AND(#REF!,"AAAAADv9x9o=")</f>
        <v>#REF!</v>
      </c>
      <c r="HL34" t="e">
        <f>AND(#REF!,"AAAAADv9x9s=")</f>
        <v>#REF!</v>
      </c>
      <c r="HM34" t="e">
        <f>AND(#REF!,"AAAAADv9x9w=")</f>
        <v>#REF!</v>
      </c>
      <c r="HN34" t="e">
        <f>IF(#REF!,"AAAAADv9x90=",0)</f>
        <v>#REF!</v>
      </c>
      <c r="HO34" t="e">
        <f>AND(#REF!,"AAAAADv9x94=")</f>
        <v>#REF!</v>
      </c>
      <c r="HP34" t="e">
        <f>AND(#REF!,"AAAAADv9x98=")</f>
        <v>#REF!</v>
      </c>
      <c r="HQ34" t="e">
        <f>AND(#REF!,"AAAAADv9x+A=")</f>
        <v>#REF!</v>
      </c>
      <c r="HR34" t="e">
        <f>AND(#REF!,"AAAAADv9x+E=")</f>
        <v>#REF!</v>
      </c>
      <c r="HS34" t="e">
        <f>AND(#REF!,"AAAAADv9x+I=")</f>
        <v>#REF!</v>
      </c>
      <c r="HT34" t="e">
        <f>AND(#REF!,"AAAAADv9x+M=")</f>
        <v>#REF!</v>
      </c>
      <c r="HU34" t="e">
        <f>AND(#REF!,"AAAAADv9x+Q=")</f>
        <v>#REF!</v>
      </c>
      <c r="HV34" t="e">
        <f>AND(#REF!,"AAAAADv9x+U=")</f>
        <v>#REF!</v>
      </c>
      <c r="HW34" t="e">
        <f>AND(#REF!,"AAAAADv9x+Y=")</f>
        <v>#REF!</v>
      </c>
      <c r="HX34" t="e">
        <f>AND(#REF!,"AAAAADv9x+c=")</f>
        <v>#REF!</v>
      </c>
      <c r="HY34" t="e">
        <f>AND(#REF!,"AAAAADv9x+g=")</f>
        <v>#REF!</v>
      </c>
      <c r="HZ34" t="e">
        <f>AND(#REF!,"AAAAADv9x+k=")</f>
        <v>#REF!</v>
      </c>
      <c r="IA34" t="e">
        <f>AND(#REF!,"AAAAADv9x+o=")</f>
        <v>#REF!</v>
      </c>
      <c r="IB34" t="e">
        <f>AND(#REF!,"AAAAADv9x+s=")</f>
        <v>#REF!</v>
      </c>
      <c r="IC34" t="e">
        <f>AND(#REF!,"AAAAADv9x+w=")</f>
        <v>#REF!</v>
      </c>
      <c r="ID34" t="e">
        <f>AND(#REF!,"AAAAADv9x+0=")</f>
        <v>#REF!</v>
      </c>
      <c r="IE34" t="e">
        <f>AND(#REF!,"AAAAADv9x+4=")</f>
        <v>#REF!</v>
      </c>
      <c r="IF34" t="e">
        <f>AND(#REF!,"AAAAADv9x+8=")</f>
        <v>#REF!</v>
      </c>
      <c r="IG34" t="e">
        <f>AND(#REF!,"AAAAADv9x/A=")</f>
        <v>#REF!</v>
      </c>
      <c r="IH34" t="e">
        <f>AND(#REF!,"AAAAADv9x/E=")</f>
        <v>#REF!</v>
      </c>
      <c r="II34" t="e">
        <f>AND(#REF!,"AAAAADv9x/I=")</f>
        <v>#REF!</v>
      </c>
      <c r="IJ34" t="e">
        <f>IF(#REF!,"AAAAADv9x/M=",0)</f>
        <v>#REF!</v>
      </c>
      <c r="IK34" t="e">
        <f>AND(#REF!,"AAAAADv9x/Q=")</f>
        <v>#REF!</v>
      </c>
      <c r="IL34" t="e">
        <f>AND(#REF!,"AAAAADv9x/U=")</f>
        <v>#REF!</v>
      </c>
      <c r="IM34" t="e">
        <f>AND(#REF!,"AAAAADv9x/Y=")</f>
        <v>#REF!</v>
      </c>
      <c r="IN34" t="e">
        <f>AND(#REF!,"AAAAADv9x/c=")</f>
        <v>#REF!</v>
      </c>
      <c r="IO34" t="e">
        <f>AND(#REF!,"AAAAADv9x/g=")</f>
        <v>#REF!</v>
      </c>
      <c r="IP34" t="e">
        <f>AND(#REF!,"AAAAADv9x/k=")</f>
        <v>#REF!</v>
      </c>
      <c r="IQ34" t="e">
        <f>AND(#REF!,"AAAAADv9x/o=")</f>
        <v>#REF!</v>
      </c>
      <c r="IR34" t="e">
        <f>AND(#REF!,"AAAAADv9x/s=")</f>
        <v>#REF!</v>
      </c>
      <c r="IS34" t="e">
        <f>AND(#REF!,"AAAAADv9x/w=")</f>
        <v>#REF!</v>
      </c>
      <c r="IT34" t="e">
        <f>AND(#REF!,"AAAAADv9x/0=")</f>
        <v>#REF!</v>
      </c>
      <c r="IU34" t="e">
        <f>AND(#REF!,"AAAAADv9x/4=")</f>
        <v>#REF!</v>
      </c>
      <c r="IV34" t="e">
        <f>AND(#REF!,"AAAAADv9x/8=")</f>
        <v>#REF!</v>
      </c>
    </row>
    <row r="35" spans="1:256">
      <c r="A35" t="e">
        <f>AND(#REF!,"AAAAAHW/iwA=")</f>
        <v>#REF!</v>
      </c>
      <c r="B35" t="e">
        <f>AND(#REF!,"AAAAAHW/iwE=")</f>
        <v>#REF!</v>
      </c>
      <c r="C35" t="e">
        <f>AND(#REF!,"AAAAAHW/iwI=")</f>
        <v>#REF!</v>
      </c>
      <c r="D35" t="e">
        <f>AND(#REF!,"AAAAAHW/iwM=")</f>
        <v>#REF!</v>
      </c>
      <c r="E35" t="e">
        <f>AND(#REF!,"AAAAAHW/iwQ=")</f>
        <v>#REF!</v>
      </c>
      <c r="F35" t="e">
        <f>AND(#REF!,"AAAAAHW/iwU=")</f>
        <v>#REF!</v>
      </c>
      <c r="G35" t="e">
        <f>AND(#REF!,"AAAAAHW/iwY=")</f>
        <v>#REF!</v>
      </c>
      <c r="H35" t="e">
        <f>AND(#REF!,"AAAAAHW/iwc=")</f>
        <v>#REF!</v>
      </c>
      <c r="I35" t="e">
        <f>AND(#REF!,"AAAAAHW/iwg=")</f>
        <v>#REF!</v>
      </c>
      <c r="J35" t="e">
        <f>IF(#REF!,"AAAAAHW/iwk=",0)</f>
        <v>#REF!</v>
      </c>
      <c r="K35" t="e">
        <f>AND(#REF!,"AAAAAHW/iwo=")</f>
        <v>#REF!</v>
      </c>
      <c r="L35" t="e">
        <f>AND(#REF!,"AAAAAHW/iws=")</f>
        <v>#REF!</v>
      </c>
      <c r="M35" t="e">
        <f>AND(#REF!,"AAAAAHW/iww=")</f>
        <v>#REF!</v>
      </c>
      <c r="N35" t="e">
        <f>AND(#REF!,"AAAAAHW/iw0=")</f>
        <v>#REF!</v>
      </c>
      <c r="O35" t="e">
        <f>AND(#REF!,"AAAAAHW/iw4=")</f>
        <v>#REF!</v>
      </c>
      <c r="P35" t="e">
        <f>AND(#REF!,"AAAAAHW/iw8=")</f>
        <v>#REF!</v>
      </c>
      <c r="Q35" t="e">
        <f>AND(#REF!,"AAAAAHW/ixA=")</f>
        <v>#REF!</v>
      </c>
      <c r="R35" t="e">
        <f>AND(#REF!,"AAAAAHW/ixE=")</f>
        <v>#REF!</v>
      </c>
      <c r="S35" t="e">
        <f>AND(#REF!,"AAAAAHW/ixI=")</f>
        <v>#REF!</v>
      </c>
      <c r="T35" t="e">
        <f>AND(#REF!,"AAAAAHW/ixM=")</f>
        <v>#REF!</v>
      </c>
      <c r="U35" t="e">
        <f>AND(#REF!,"AAAAAHW/ixQ=")</f>
        <v>#REF!</v>
      </c>
      <c r="V35" t="e">
        <f>AND(#REF!,"AAAAAHW/ixU=")</f>
        <v>#REF!</v>
      </c>
      <c r="W35" t="e">
        <f>AND(#REF!,"AAAAAHW/ixY=")</f>
        <v>#REF!</v>
      </c>
      <c r="X35" t="e">
        <f>AND(#REF!,"AAAAAHW/ixc=")</f>
        <v>#REF!</v>
      </c>
      <c r="Y35" t="e">
        <f>AND(#REF!,"AAAAAHW/ixg=")</f>
        <v>#REF!</v>
      </c>
      <c r="Z35" t="e">
        <f>AND(#REF!,"AAAAAHW/ixk=")</f>
        <v>#REF!</v>
      </c>
      <c r="AA35" t="e">
        <f>AND(#REF!,"AAAAAHW/ixo=")</f>
        <v>#REF!</v>
      </c>
      <c r="AB35" t="e">
        <f>AND(#REF!,"AAAAAHW/ixs=")</f>
        <v>#REF!</v>
      </c>
      <c r="AC35" t="e">
        <f>AND(#REF!,"AAAAAHW/ixw=")</f>
        <v>#REF!</v>
      </c>
      <c r="AD35" t="e">
        <f>AND(#REF!,"AAAAAHW/ix0=")</f>
        <v>#REF!</v>
      </c>
      <c r="AE35" t="e">
        <f>AND(#REF!,"AAAAAHW/ix4=")</f>
        <v>#REF!</v>
      </c>
      <c r="AF35" t="e">
        <f>IF(#REF!,"AAAAAHW/ix8=",0)</f>
        <v>#REF!</v>
      </c>
      <c r="AG35" t="e">
        <f>AND(#REF!,"AAAAAHW/iyA=")</f>
        <v>#REF!</v>
      </c>
      <c r="AH35" t="e">
        <f>AND(#REF!,"AAAAAHW/iyE=")</f>
        <v>#REF!</v>
      </c>
      <c r="AI35" t="e">
        <f>AND(#REF!,"AAAAAHW/iyI=")</f>
        <v>#REF!</v>
      </c>
      <c r="AJ35" t="e">
        <f>AND(#REF!,"AAAAAHW/iyM=")</f>
        <v>#REF!</v>
      </c>
      <c r="AK35" t="e">
        <f>AND(#REF!,"AAAAAHW/iyQ=")</f>
        <v>#REF!</v>
      </c>
      <c r="AL35" t="e">
        <f>AND(#REF!,"AAAAAHW/iyU=")</f>
        <v>#REF!</v>
      </c>
      <c r="AM35" t="e">
        <f>AND(#REF!,"AAAAAHW/iyY=")</f>
        <v>#REF!</v>
      </c>
      <c r="AN35" t="e">
        <f>AND(#REF!,"AAAAAHW/iyc=")</f>
        <v>#REF!</v>
      </c>
      <c r="AO35" t="e">
        <f>AND(#REF!,"AAAAAHW/iyg=")</f>
        <v>#REF!</v>
      </c>
      <c r="AP35" t="e">
        <f>AND(#REF!,"AAAAAHW/iyk=")</f>
        <v>#REF!</v>
      </c>
      <c r="AQ35" t="e">
        <f>AND(#REF!,"AAAAAHW/iyo=")</f>
        <v>#REF!</v>
      </c>
      <c r="AR35" t="e">
        <f>AND(#REF!,"AAAAAHW/iys=")</f>
        <v>#REF!</v>
      </c>
      <c r="AS35" t="e">
        <f>AND(#REF!,"AAAAAHW/iyw=")</f>
        <v>#REF!</v>
      </c>
      <c r="AT35" t="e">
        <f>AND(#REF!,"AAAAAHW/iy0=")</f>
        <v>#REF!</v>
      </c>
      <c r="AU35" t="e">
        <f>AND(#REF!,"AAAAAHW/iy4=")</f>
        <v>#REF!</v>
      </c>
      <c r="AV35" t="e">
        <f>AND(#REF!,"AAAAAHW/iy8=")</f>
        <v>#REF!</v>
      </c>
      <c r="AW35" t="e">
        <f>AND(#REF!,"AAAAAHW/izA=")</f>
        <v>#REF!</v>
      </c>
      <c r="AX35" t="e">
        <f>AND(#REF!,"AAAAAHW/izE=")</f>
        <v>#REF!</v>
      </c>
      <c r="AY35" t="e">
        <f>AND(#REF!,"AAAAAHW/izI=")</f>
        <v>#REF!</v>
      </c>
      <c r="AZ35" t="e">
        <f>AND(#REF!,"AAAAAHW/izM=")</f>
        <v>#REF!</v>
      </c>
      <c r="BA35" t="e">
        <f>AND(#REF!,"AAAAAHW/izQ=")</f>
        <v>#REF!</v>
      </c>
      <c r="BB35" t="e">
        <f>IF(#REF!,"AAAAAHW/izU=",0)</f>
        <v>#REF!</v>
      </c>
      <c r="BC35" t="e">
        <f>AND(#REF!,"AAAAAHW/izY=")</f>
        <v>#REF!</v>
      </c>
      <c r="BD35" t="e">
        <f>AND(#REF!,"AAAAAHW/izc=")</f>
        <v>#REF!</v>
      </c>
      <c r="BE35" t="e">
        <f>AND(#REF!,"AAAAAHW/izg=")</f>
        <v>#REF!</v>
      </c>
      <c r="BF35" t="e">
        <f>AND(#REF!,"AAAAAHW/izk=")</f>
        <v>#REF!</v>
      </c>
      <c r="BG35" t="e">
        <f>AND(#REF!,"AAAAAHW/izo=")</f>
        <v>#REF!</v>
      </c>
      <c r="BH35" t="e">
        <f>AND(#REF!,"AAAAAHW/izs=")</f>
        <v>#REF!</v>
      </c>
      <c r="BI35" t="e">
        <f>AND(#REF!,"AAAAAHW/izw=")</f>
        <v>#REF!</v>
      </c>
      <c r="BJ35" t="e">
        <f>AND(#REF!,"AAAAAHW/iz0=")</f>
        <v>#REF!</v>
      </c>
      <c r="BK35" t="e">
        <f>AND(#REF!,"AAAAAHW/iz4=")</f>
        <v>#REF!</v>
      </c>
      <c r="BL35" t="e">
        <f>AND(#REF!,"AAAAAHW/iz8=")</f>
        <v>#REF!</v>
      </c>
      <c r="BM35" t="e">
        <f>AND(#REF!,"AAAAAHW/i0A=")</f>
        <v>#REF!</v>
      </c>
      <c r="BN35" t="e">
        <f>AND(#REF!,"AAAAAHW/i0E=")</f>
        <v>#REF!</v>
      </c>
      <c r="BO35" t="e">
        <f>AND(#REF!,"AAAAAHW/i0I=")</f>
        <v>#REF!</v>
      </c>
      <c r="BP35" t="e">
        <f>AND(#REF!,"AAAAAHW/i0M=")</f>
        <v>#REF!</v>
      </c>
      <c r="BQ35" t="e">
        <f>AND(#REF!,"AAAAAHW/i0Q=")</f>
        <v>#REF!</v>
      </c>
      <c r="BR35" t="e">
        <f>AND(#REF!,"AAAAAHW/i0U=")</f>
        <v>#REF!</v>
      </c>
      <c r="BS35" t="e">
        <f>AND(#REF!,"AAAAAHW/i0Y=")</f>
        <v>#REF!</v>
      </c>
      <c r="BT35" t="e">
        <f>AND(#REF!,"AAAAAHW/i0c=")</f>
        <v>#REF!</v>
      </c>
      <c r="BU35" t="e">
        <f>AND(#REF!,"AAAAAHW/i0g=")</f>
        <v>#REF!</v>
      </c>
      <c r="BV35" t="e">
        <f>AND(#REF!,"AAAAAHW/i0k=")</f>
        <v>#REF!</v>
      </c>
      <c r="BW35" t="e">
        <f>AND(#REF!,"AAAAAHW/i0o=")</f>
        <v>#REF!</v>
      </c>
      <c r="BX35" t="e">
        <f>IF(#REF!,"AAAAAHW/i0s=",0)</f>
        <v>#REF!</v>
      </c>
      <c r="BY35" t="e">
        <f>AND(#REF!,"AAAAAHW/i0w=")</f>
        <v>#REF!</v>
      </c>
      <c r="BZ35" t="e">
        <f>AND(#REF!,"AAAAAHW/i00=")</f>
        <v>#REF!</v>
      </c>
      <c r="CA35" t="e">
        <f>AND(#REF!,"AAAAAHW/i04=")</f>
        <v>#REF!</v>
      </c>
      <c r="CB35" t="e">
        <f>AND(#REF!,"AAAAAHW/i08=")</f>
        <v>#REF!</v>
      </c>
      <c r="CC35" t="e">
        <f>AND(#REF!,"AAAAAHW/i1A=")</f>
        <v>#REF!</v>
      </c>
      <c r="CD35" t="e">
        <f>AND(#REF!,"AAAAAHW/i1E=")</f>
        <v>#REF!</v>
      </c>
      <c r="CE35" t="e">
        <f>AND(#REF!,"AAAAAHW/i1I=")</f>
        <v>#REF!</v>
      </c>
      <c r="CF35" t="e">
        <f>AND(#REF!,"AAAAAHW/i1M=")</f>
        <v>#REF!</v>
      </c>
      <c r="CG35" t="e">
        <f>AND(#REF!,"AAAAAHW/i1Q=")</f>
        <v>#REF!</v>
      </c>
      <c r="CH35" t="e">
        <f>AND(#REF!,"AAAAAHW/i1U=")</f>
        <v>#REF!</v>
      </c>
      <c r="CI35" t="e">
        <f>AND(#REF!,"AAAAAHW/i1Y=")</f>
        <v>#REF!</v>
      </c>
      <c r="CJ35" t="e">
        <f>AND(#REF!,"AAAAAHW/i1c=")</f>
        <v>#REF!</v>
      </c>
      <c r="CK35" t="e">
        <f>AND(#REF!,"AAAAAHW/i1g=")</f>
        <v>#REF!</v>
      </c>
      <c r="CL35" t="e">
        <f>AND(#REF!,"AAAAAHW/i1k=")</f>
        <v>#REF!</v>
      </c>
      <c r="CM35" t="e">
        <f>AND(#REF!,"AAAAAHW/i1o=")</f>
        <v>#REF!</v>
      </c>
      <c r="CN35" t="e">
        <f>AND(#REF!,"AAAAAHW/i1s=")</f>
        <v>#REF!</v>
      </c>
      <c r="CO35" t="e">
        <f>AND(#REF!,"AAAAAHW/i1w=")</f>
        <v>#REF!</v>
      </c>
      <c r="CP35" t="e">
        <f>AND(#REF!,"AAAAAHW/i10=")</f>
        <v>#REF!</v>
      </c>
      <c r="CQ35" t="e">
        <f>AND(#REF!,"AAAAAHW/i14=")</f>
        <v>#REF!</v>
      </c>
      <c r="CR35" t="e">
        <f>AND(#REF!,"AAAAAHW/i18=")</f>
        <v>#REF!</v>
      </c>
      <c r="CS35" t="e">
        <f>AND(#REF!,"AAAAAHW/i2A=")</f>
        <v>#REF!</v>
      </c>
      <c r="CT35" t="e">
        <f>IF(#REF!,"AAAAAHW/i2E=",0)</f>
        <v>#REF!</v>
      </c>
      <c r="CU35" t="e">
        <f>AND(#REF!,"AAAAAHW/i2I=")</f>
        <v>#REF!</v>
      </c>
      <c r="CV35" t="e">
        <f>AND(#REF!,"AAAAAHW/i2M=")</f>
        <v>#REF!</v>
      </c>
      <c r="CW35" t="e">
        <f>AND(#REF!,"AAAAAHW/i2Q=")</f>
        <v>#REF!</v>
      </c>
      <c r="CX35" t="e">
        <f>AND(#REF!,"AAAAAHW/i2U=")</f>
        <v>#REF!</v>
      </c>
      <c r="CY35" t="e">
        <f>AND(#REF!,"AAAAAHW/i2Y=")</f>
        <v>#REF!</v>
      </c>
      <c r="CZ35" t="e">
        <f>AND(#REF!,"AAAAAHW/i2c=")</f>
        <v>#REF!</v>
      </c>
      <c r="DA35" t="e">
        <f>AND(#REF!,"AAAAAHW/i2g=")</f>
        <v>#REF!</v>
      </c>
      <c r="DB35" t="e">
        <f>AND(#REF!,"AAAAAHW/i2k=")</f>
        <v>#REF!</v>
      </c>
      <c r="DC35" t="e">
        <f>AND(#REF!,"AAAAAHW/i2o=")</f>
        <v>#REF!</v>
      </c>
      <c r="DD35" t="e">
        <f>AND(#REF!,"AAAAAHW/i2s=")</f>
        <v>#REF!</v>
      </c>
      <c r="DE35" t="e">
        <f>AND(#REF!,"AAAAAHW/i2w=")</f>
        <v>#REF!</v>
      </c>
      <c r="DF35" t="e">
        <f>AND(#REF!,"AAAAAHW/i20=")</f>
        <v>#REF!</v>
      </c>
      <c r="DG35" t="e">
        <f>AND(#REF!,"AAAAAHW/i24=")</f>
        <v>#REF!</v>
      </c>
      <c r="DH35" t="e">
        <f>AND(#REF!,"AAAAAHW/i28=")</f>
        <v>#REF!</v>
      </c>
      <c r="DI35" t="e">
        <f>AND(#REF!,"AAAAAHW/i3A=")</f>
        <v>#REF!</v>
      </c>
      <c r="DJ35" t="e">
        <f>AND(#REF!,"AAAAAHW/i3E=")</f>
        <v>#REF!</v>
      </c>
      <c r="DK35" t="e">
        <f>AND(#REF!,"AAAAAHW/i3I=")</f>
        <v>#REF!</v>
      </c>
      <c r="DL35" t="e">
        <f>AND(#REF!,"AAAAAHW/i3M=")</f>
        <v>#REF!</v>
      </c>
      <c r="DM35" t="e">
        <f>AND(#REF!,"AAAAAHW/i3Q=")</f>
        <v>#REF!</v>
      </c>
      <c r="DN35" t="e">
        <f>AND(#REF!,"AAAAAHW/i3U=")</f>
        <v>#REF!</v>
      </c>
      <c r="DO35" t="e">
        <f>AND(#REF!,"AAAAAHW/i3Y=")</f>
        <v>#REF!</v>
      </c>
      <c r="DP35" t="e">
        <f>IF(#REF!,"AAAAAHW/i3c=",0)</f>
        <v>#REF!</v>
      </c>
      <c r="DQ35" t="e">
        <f>AND(#REF!,"AAAAAHW/i3g=")</f>
        <v>#REF!</v>
      </c>
      <c r="DR35" t="e">
        <f>AND(#REF!,"AAAAAHW/i3k=")</f>
        <v>#REF!</v>
      </c>
      <c r="DS35" t="e">
        <f>AND(#REF!,"AAAAAHW/i3o=")</f>
        <v>#REF!</v>
      </c>
      <c r="DT35" t="e">
        <f>AND(#REF!,"AAAAAHW/i3s=")</f>
        <v>#REF!</v>
      </c>
      <c r="DU35" t="e">
        <f>AND(#REF!,"AAAAAHW/i3w=")</f>
        <v>#REF!</v>
      </c>
      <c r="DV35" t="e">
        <f>AND(#REF!,"AAAAAHW/i30=")</f>
        <v>#REF!</v>
      </c>
      <c r="DW35" t="e">
        <f>AND(#REF!,"AAAAAHW/i34=")</f>
        <v>#REF!</v>
      </c>
      <c r="DX35" t="e">
        <f>AND(#REF!,"AAAAAHW/i38=")</f>
        <v>#REF!</v>
      </c>
      <c r="DY35" t="e">
        <f>AND(#REF!,"AAAAAHW/i4A=")</f>
        <v>#REF!</v>
      </c>
      <c r="DZ35" t="e">
        <f>AND(#REF!,"AAAAAHW/i4E=")</f>
        <v>#REF!</v>
      </c>
      <c r="EA35" t="e">
        <f>AND(#REF!,"AAAAAHW/i4I=")</f>
        <v>#REF!</v>
      </c>
      <c r="EB35" t="e">
        <f>AND(#REF!,"AAAAAHW/i4M=")</f>
        <v>#REF!</v>
      </c>
      <c r="EC35" t="e">
        <f>AND(#REF!,"AAAAAHW/i4Q=")</f>
        <v>#REF!</v>
      </c>
      <c r="ED35" t="e">
        <f>AND(#REF!,"AAAAAHW/i4U=")</f>
        <v>#REF!</v>
      </c>
      <c r="EE35" t="e">
        <f>AND(#REF!,"AAAAAHW/i4Y=")</f>
        <v>#REF!</v>
      </c>
      <c r="EF35" t="e">
        <f>AND(#REF!,"AAAAAHW/i4c=")</f>
        <v>#REF!</v>
      </c>
      <c r="EG35" t="e">
        <f>AND(#REF!,"AAAAAHW/i4g=")</f>
        <v>#REF!</v>
      </c>
      <c r="EH35" t="e">
        <f>AND(#REF!,"AAAAAHW/i4k=")</f>
        <v>#REF!</v>
      </c>
      <c r="EI35" t="e">
        <f>AND(#REF!,"AAAAAHW/i4o=")</f>
        <v>#REF!</v>
      </c>
      <c r="EJ35" t="e">
        <f>AND(#REF!,"AAAAAHW/i4s=")</f>
        <v>#REF!</v>
      </c>
      <c r="EK35" t="e">
        <f>AND(#REF!,"AAAAAHW/i4w=")</f>
        <v>#REF!</v>
      </c>
      <c r="EL35" t="e">
        <f>IF(#REF!,"AAAAAHW/i40=",0)</f>
        <v>#REF!</v>
      </c>
      <c r="EM35" t="e">
        <f>AND(#REF!,"AAAAAHW/i44=")</f>
        <v>#REF!</v>
      </c>
      <c r="EN35" t="e">
        <f>AND(#REF!,"AAAAAHW/i48=")</f>
        <v>#REF!</v>
      </c>
      <c r="EO35" t="e">
        <f>AND(#REF!,"AAAAAHW/i5A=")</f>
        <v>#REF!</v>
      </c>
      <c r="EP35" t="e">
        <f>AND(#REF!,"AAAAAHW/i5E=")</f>
        <v>#REF!</v>
      </c>
      <c r="EQ35" t="e">
        <f>AND(#REF!,"AAAAAHW/i5I=")</f>
        <v>#REF!</v>
      </c>
      <c r="ER35" t="e">
        <f>AND(#REF!,"AAAAAHW/i5M=")</f>
        <v>#REF!</v>
      </c>
      <c r="ES35" t="e">
        <f>AND(#REF!,"AAAAAHW/i5Q=")</f>
        <v>#REF!</v>
      </c>
      <c r="ET35" t="e">
        <f>AND(#REF!,"AAAAAHW/i5U=")</f>
        <v>#REF!</v>
      </c>
      <c r="EU35" t="e">
        <f>AND(#REF!,"AAAAAHW/i5Y=")</f>
        <v>#REF!</v>
      </c>
      <c r="EV35" t="e">
        <f>AND(#REF!,"AAAAAHW/i5c=")</f>
        <v>#REF!</v>
      </c>
      <c r="EW35" t="e">
        <f>AND(#REF!,"AAAAAHW/i5g=")</f>
        <v>#REF!</v>
      </c>
      <c r="EX35" t="e">
        <f>AND(#REF!,"AAAAAHW/i5k=")</f>
        <v>#REF!</v>
      </c>
      <c r="EY35" t="e">
        <f>AND(#REF!,"AAAAAHW/i5o=")</f>
        <v>#REF!</v>
      </c>
      <c r="EZ35" t="e">
        <f>AND(#REF!,"AAAAAHW/i5s=")</f>
        <v>#REF!</v>
      </c>
      <c r="FA35" t="e">
        <f>AND(#REF!,"AAAAAHW/i5w=")</f>
        <v>#REF!</v>
      </c>
      <c r="FB35" t="e">
        <f>AND(#REF!,"AAAAAHW/i50=")</f>
        <v>#REF!</v>
      </c>
      <c r="FC35" t="e">
        <f>AND(#REF!,"AAAAAHW/i54=")</f>
        <v>#REF!</v>
      </c>
      <c r="FD35" t="e">
        <f>AND(#REF!,"AAAAAHW/i58=")</f>
        <v>#REF!</v>
      </c>
      <c r="FE35" t="e">
        <f>AND(#REF!,"AAAAAHW/i6A=")</f>
        <v>#REF!</v>
      </c>
      <c r="FF35" t="e">
        <f>AND(#REF!,"AAAAAHW/i6E=")</f>
        <v>#REF!</v>
      </c>
      <c r="FG35" t="e">
        <f>AND(#REF!,"AAAAAHW/i6I=")</f>
        <v>#REF!</v>
      </c>
      <c r="FH35" t="e">
        <f>IF(#REF!,"AAAAAHW/i6M=",0)</f>
        <v>#REF!</v>
      </c>
      <c r="FI35" t="e">
        <f>AND(#REF!,"AAAAAHW/i6Q=")</f>
        <v>#REF!</v>
      </c>
      <c r="FJ35" t="e">
        <f>AND(#REF!,"AAAAAHW/i6U=")</f>
        <v>#REF!</v>
      </c>
      <c r="FK35" t="e">
        <f>AND(#REF!,"AAAAAHW/i6Y=")</f>
        <v>#REF!</v>
      </c>
      <c r="FL35" t="e">
        <f>AND(#REF!,"AAAAAHW/i6c=")</f>
        <v>#REF!</v>
      </c>
      <c r="FM35" t="e">
        <f>AND(#REF!,"AAAAAHW/i6g=")</f>
        <v>#REF!</v>
      </c>
      <c r="FN35" t="e">
        <f>AND(#REF!,"AAAAAHW/i6k=")</f>
        <v>#REF!</v>
      </c>
      <c r="FO35" t="e">
        <f>AND(#REF!,"AAAAAHW/i6o=")</f>
        <v>#REF!</v>
      </c>
      <c r="FP35" t="e">
        <f>AND(#REF!,"AAAAAHW/i6s=")</f>
        <v>#REF!</v>
      </c>
      <c r="FQ35" t="e">
        <f>AND(#REF!,"AAAAAHW/i6w=")</f>
        <v>#REF!</v>
      </c>
      <c r="FR35" t="e">
        <f>AND(#REF!,"AAAAAHW/i60=")</f>
        <v>#REF!</v>
      </c>
      <c r="FS35" t="e">
        <f>AND(#REF!,"AAAAAHW/i64=")</f>
        <v>#REF!</v>
      </c>
      <c r="FT35" t="e">
        <f>AND(#REF!,"AAAAAHW/i68=")</f>
        <v>#REF!</v>
      </c>
      <c r="FU35" t="e">
        <f>AND(#REF!,"AAAAAHW/i7A=")</f>
        <v>#REF!</v>
      </c>
      <c r="FV35" t="e">
        <f>AND(#REF!,"AAAAAHW/i7E=")</f>
        <v>#REF!</v>
      </c>
      <c r="FW35" t="e">
        <f>AND(#REF!,"AAAAAHW/i7I=")</f>
        <v>#REF!</v>
      </c>
      <c r="FX35" t="e">
        <f>AND(#REF!,"AAAAAHW/i7M=")</f>
        <v>#REF!</v>
      </c>
      <c r="FY35" t="e">
        <f>AND(#REF!,"AAAAAHW/i7Q=")</f>
        <v>#REF!</v>
      </c>
      <c r="FZ35" t="e">
        <f>AND(#REF!,"AAAAAHW/i7U=")</f>
        <v>#REF!</v>
      </c>
      <c r="GA35" t="e">
        <f>AND(#REF!,"AAAAAHW/i7Y=")</f>
        <v>#REF!</v>
      </c>
      <c r="GB35" t="e">
        <f>AND(#REF!,"AAAAAHW/i7c=")</f>
        <v>#REF!</v>
      </c>
      <c r="GC35" t="e">
        <f>AND(#REF!,"AAAAAHW/i7g=")</f>
        <v>#REF!</v>
      </c>
      <c r="GD35" t="e">
        <f>IF(#REF!,"AAAAAHW/i7k=",0)</f>
        <v>#REF!</v>
      </c>
      <c r="GE35" t="e">
        <f>AND(#REF!,"AAAAAHW/i7o=")</f>
        <v>#REF!</v>
      </c>
      <c r="GF35" t="e">
        <f>AND(#REF!,"AAAAAHW/i7s=")</f>
        <v>#REF!</v>
      </c>
      <c r="GG35" t="e">
        <f>AND(#REF!,"AAAAAHW/i7w=")</f>
        <v>#REF!</v>
      </c>
      <c r="GH35" t="e">
        <f>AND(#REF!,"AAAAAHW/i70=")</f>
        <v>#REF!</v>
      </c>
      <c r="GI35" t="e">
        <f>AND(#REF!,"AAAAAHW/i74=")</f>
        <v>#REF!</v>
      </c>
      <c r="GJ35" t="e">
        <f>AND(#REF!,"AAAAAHW/i78=")</f>
        <v>#REF!</v>
      </c>
      <c r="GK35" t="e">
        <f>AND(#REF!,"AAAAAHW/i8A=")</f>
        <v>#REF!</v>
      </c>
      <c r="GL35" t="e">
        <f>AND(#REF!,"AAAAAHW/i8E=")</f>
        <v>#REF!</v>
      </c>
      <c r="GM35" t="e">
        <f>AND(#REF!,"AAAAAHW/i8I=")</f>
        <v>#REF!</v>
      </c>
      <c r="GN35" t="e">
        <f>AND(#REF!,"AAAAAHW/i8M=")</f>
        <v>#REF!</v>
      </c>
      <c r="GO35" t="e">
        <f>AND(#REF!,"AAAAAHW/i8Q=")</f>
        <v>#REF!</v>
      </c>
      <c r="GP35" t="e">
        <f>AND(#REF!,"AAAAAHW/i8U=")</f>
        <v>#REF!</v>
      </c>
      <c r="GQ35" t="e">
        <f>AND(#REF!,"AAAAAHW/i8Y=")</f>
        <v>#REF!</v>
      </c>
      <c r="GR35" t="e">
        <f>AND(#REF!,"AAAAAHW/i8c=")</f>
        <v>#REF!</v>
      </c>
      <c r="GS35" t="e">
        <f>AND(#REF!,"AAAAAHW/i8g=")</f>
        <v>#REF!</v>
      </c>
      <c r="GT35" t="e">
        <f>AND(#REF!,"AAAAAHW/i8k=")</f>
        <v>#REF!</v>
      </c>
      <c r="GU35" t="e">
        <f>AND(#REF!,"AAAAAHW/i8o=")</f>
        <v>#REF!</v>
      </c>
      <c r="GV35" t="e">
        <f>AND(#REF!,"AAAAAHW/i8s=")</f>
        <v>#REF!</v>
      </c>
      <c r="GW35" t="e">
        <f>AND(#REF!,"AAAAAHW/i8w=")</f>
        <v>#REF!</v>
      </c>
      <c r="GX35" t="e">
        <f>AND(#REF!,"AAAAAHW/i80=")</f>
        <v>#REF!</v>
      </c>
      <c r="GY35" t="e">
        <f>AND(#REF!,"AAAAAHW/i84=")</f>
        <v>#REF!</v>
      </c>
      <c r="GZ35" t="e">
        <f>IF(#REF!,"AAAAAHW/i88=",0)</f>
        <v>#REF!</v>
      </c>
      <c r="HA35" t="e">
        <f>AND(#REF!,"AAAAAHW/i9A=")</f>
        <v>#REF!</v>
      </c>
      <c r="HB35" t="e">
        <f>AND(#REF!,"AAAAAHW/i9E=")</f>
        <v>#REF!</v>
      </c>
      <c r="HC35" t="e">
        <f>AND(#REF!,"AAAAAHW/i9I=")</f>
        <v>#REF!</v>
      </c>
      <c r="HD35" t="e">
        <f>AND(#REF!,"AAAAAHW/i9M=")</f>
        <v>#REF!</v>
      </c>
      <c r="HE35" t="e">
        <f>AND(#REF!,"AAAAAHW/i9Q=")</f>
        <v>#REF!</v>
      </c>
      <c r="HF35" t="e">
        <f>AND(#REF!,"AAAAAHW/i9U=")</f>
        <v>#REF!</v>
      </c>
      <c r="HG35" t="e">
        <f>AND(#REF!,"AAAAAHW/i9Y=")</f>
        <v>#REF!</v>
      </c>
      <c r="HH35" t="e">
        <f>AND(#REF!,"AAAAAHW/i9c=")</f>
        <v>#REF!</v>
      </c>
      <c r="HI35" t="e">
        <f>AND(#REF!,"AAAAAHW/i9g=")</f>
        <v>#REF!</v>
      </c>
      <c r="HJ35" t="e">
        <f>AND(#REF!,"AAAAAHW/i9k=")</f>
        <v>#REF!</v>
      </c>
      <c r="HK35" t="e">
        <f>AND(#REF!,"AAAAAHW/i9o=")</f>
        <v>#REF!</v>
      </c>
      <c r="HL35" t="e">
        <f>AND(#REF!,"AAAAAHW/i9s=")</f>
        <v>#REF!</v>
      </c>
      <c r="HM35" t="e">
        <f>AND(#REF!,"AAAAAHW/i9w=")</f>
        <v>#REF!</v>
      </c>
      <c r="HN35" t="e">
        <f>AND(#REF!,"AAAAAHW/i90=")</f>
        <v>#REF!</v>
      </c>
      <c r="HO35" t="e">
        <f>AND(#REF!,"AAAAAHW/i94=")</f>
        <v>#REF!</v>
      </c>
      <c r="HP35" t="e">
        <f>AND(#REF!,"AAAAAHW/i98=")</f>
        <v>#REF!</v>
      </c>
      <c r="HQ35" t="e">
        <f>AND(#REF!,"AAAAAHW/i+A=")</f>
        <v>#REF!</v>
      </c>
      <c r="HR35" t="e">
        <f>AND(#REF!,"AAAAAHW/i+E=")</f>
        <v>#REF!</v>
      </c>
      <c r="HS35" t="e">
        <f>AND(#REF!,"AAAAAHW/i+I=")</f>
        <v>#REF!</v>
      </c>
      <c r="HT35" t="e">
        <f>AND(#REF!,"AAAAAHW/i+M=")</f>
        <v>#REF!</v>
      </c>
      <c r="HU35" t="e">
        <f>AND(#REF!,"AAAAAHW/i+Q=")</f>
        <v>#REF!</v>
      </c>
      <c r="HV35" t="e">
        <f>IF(#REF!,"AAAAAHW/i+U=",0)</f>
        <v>#REF!</v>
      </c>
      <c r="HW35" t="e">
        <f>AND(#REF!,"AAAAAHW/i+Y=")</f>
        <v>#REF!</v>
      </c>
      <c r="HX35" t="e">
        <f>AND(#REF!,"AAAAAHW/i+c=")</f>
        <v>#REF!</v>
      </c>
      <c r="HY35" t="e">
        <f>AND(#REF!,"AAAAAHW/i+g=")</f>
        <v>#REF!</v>
      </c>
      <c r="HZ35" t="e">
        <f>AND(#REF!,"AAAAAHW/i+k=")</f>
        <v>#REF!</v>
      </c>
      <c r="IA35" t="e">
        <f>AND(#REF!,"AAAAAHW/i+o=")</f>
        <v>#REF!</v>
      </c>
      <c r="IB35" t="e">
        <f>AND(#REF!,"AAAAAHW/i+s=")</f>
        <v>#REF!</v>
      </c>
      <c r="IC35" t="e">
        <f>AND(#REF!,"AAAAAHW/i+w=")</f>
        <v>#REF!</v>
      </c>
      <c r="ID35" t="e">
        <f>AND(#REF!,"AAAAAHW/i+0=")</f>
        <v>#REF!</v>
      </c>
      <c r="IE35" t="e">
        <f>AND(#REF!,"AAAAAHW/i+4=")</f>
        <v>#REF!</v>
      </c>
      <c r="IF35" t="e">
        <f>AND(#REF!,"AAAAAHW/i+8=")</f>
        <v>#REF!</v>
      </c>
      <c r="IG35" t="e">
        <f>AND(#REF!,"AAAAAHW/i/A=")</f>
        <v>#REF!</v>
      </c>
      <c r="IH35" t="e">
        <f>AND(#REF!,"AAAAAHW/i/E=")</f>
        <v>#REF!</v>
      </c>
      <c r="II35" t="e">
        <f>AND(#REF!,"AAAAAHW/i/I=")</f>
        <v>#REF!</v>
      </c>
      <c r="IJ35" t="e">
        <f>AND(#REF!,"AAAAAHW/i/M=")</f>
        <v>#REF!</v>
      </c>
      <c r="IK35" t="e">
        <f>AND(#REF!,"AAAAAHW/i/Q=")</f>
        <v>#REF!</v>
      </c>
      <c r="IL35" t="e">
        <f>AND(#REF!,"AAAAAHW/i/U=")</f>
        <v>#REF!</v>
      </c>
      <c r="IM35" t="e">
        <f>AND(#REF!,"AAAAAHW/i/Y=")</f>
        <v>#REF!</v>
      </c>
      <c r="IN35" t="e">
        <f>AND(#REF!,"AAAAAHW/i/c=")</f>
        <v>#REF!</v>
      </c>
      <c r="IO35" t="e">
        <f>AND(#REF!,"AAAAAHW/i/g=")</f>
        <v>#REF!</v>
      </c>
      <c r="IP35" t="e">
        <f>AND(#REF!,"AAAAAHW/i/k=")</f>
        <v>#REF!</v>
      </c>
      <c r="IQ35" t="e">
        <f>AND(#REF!,"AAAAAHW/i/o=")</f>
        <v>#REF!</v>
      </c>
      <c r="IR35" t="e">
        <f>IF(#REF!,"AAAAAHW/i/s=",0)</f>
        <v>#REF!</v>
      </c>
      <c r="IS35" t="e">
        <f>AND(#REF!,"AAAAAHW/i/w=")</f>
        <v>#REF!</v>
      </c>
      <c r="IT35" t="e">
        <f>AND(#REF!,"AAAAAHW/i/0=")</f>
        <v>#REF!</v>
      </c>
      <c r="IU35" t="e">
        <f>AND(#REF!,"AAAAAHW/i/4=")</f>
        <v>#REF!</v>
      </c>
      <c r="IV35" t="e">
        <f>AND(#REF!,"AAAAAHW/i/8=")</f>
        <v>#REF!</v>
      </c>
    </row>
    <row r="36" spans="1:256">
      <c r="A36" t="e">
        <f>AND(#REF!,"AAAAAFf89wA=")</f>
        <v>#REF!</v>
      </c>
      <c r="B36" t="e">
        <f>AND(#REF!,"AAAAAFf89wE=")</f>
        <v>#REF!</v>
      </c>
      <c r="C36" t="e">
        <f>AND(#REF!,"AAAAAFf89wI=")</f>
        <v>#REF!</v>
      </c>
      <c r="D36" t="e">
        <f>AND(#REF!,"AAAAAFf89wM=")</f>
        <v>#REF!</v>
      </c>
      <c r="E36" t="e">
        <f>AND(#REF!,"AAAAAFf89wQ=")</f>
        <v>#REF!</v>
      </c>
      <c r="F36" t="e">
        <f>AND(#REF!,"AAAAAFf89wU=")</f>
        <v>#REF!</v>
      </c>
      <c r="G36" t="e">
        <f>AND(#REF!,"AAAAAFf89wY=")</f>
        <v>#REF!</v>
      </c>
      <c r="H36" t="e">
        <f>AND(#REF!,"AAAAAFf89wc=")</f>
        <v>#REF!</v>
      </c>
      <c r="I36" t="e">
        <f>AND(#REF!,"AAAAAFf89wg=")</f>
        <v>#REF!</v>
      </c>
      <c r="J36" t="e">
        <f>AND(#REF!,"AAAAAFf89wk=")</f>
        <v>#REF!</v>
      </c>
      <c r="K36" t="e">
        <f>AND(#REF!,"AAAAAFf89wo=")</f>
        <v>#REF!</v>
      </c>
      <c r="L36" t="e">
        <f>AND(#REF!,"AAAAAFf89ws=")</f>
        <v>#REF!</v>
      </c>
      <c r="M36" t="e">
        <f>AND(#REF!,"AAAAAFf89ww=")</f>
        <v>#REF!</v>
      </c>
      <c r="N36" t="e">
        <f>AND(#REF!,"AAAAAFf89w0=")</f>
        <v>#REF!</v>
      </c>
      <c r="O36" t="e">
        <f>AND(#REF!,"AAAAAFf89w4=")</f>
        <v>#REF!</v>
      </c>
      <c r="P36" t="e">
        <f>AND(#REF!,"AAAAAFf89w8=")</f>
        <v>#REF!</v>
      </c>
      <c r="Q36" t="e">
        <f>AND(#REF!,"AAAAAFf89xA=")</f>
        <v>#REF!</v>
      </c>
      <c r="R36" t="e">
        <f>IF(#REF!,"AAAAAFf89xE=",0)</f>
        <v>#REF!</v>
      </c>
      <c r="S36" t="e">
        <f>AND(#REF!,"AAAAAFf89xI=")</f>
        <v>#REF!</v>
      </c>
      <c r="T36" t="e">
        <f>AND(#REF!,"AAAAAFf89xM=")</f>
        <v>#REF!</v>
      </c>
      <c r="U36" t="e">
        <f>AND(#REF!,"AAAAAFf89xQ=")</f>
        <v>#REF!</v>
      </c>
      <c r="V36" t="e">
        <f>AND(#REF!,"AAAAAFf89xU=")</f>
        <v>#REF!</v>
      </c>
      <c r="W36" t="e">
        <f>AND(#REF!,"AAAAAFf89xY=")</f>
        <v>#REF!</v>
      </c>
      <c r="X36" t="e">
        <f>AND(#REF!,"AAAAAFf89xc=")</f>
        <v>#REF!</v>
      </c>
      <c r="Y36" t="e">
        <f>AND(#REF!,"AAAAAFf89xg=")</f>
        <v>#REF!</v>
      </c>
      <c r="Z36" t="e">
        <f>AND(#REF!,"AAAAAFf89xk=")</f>
        <v>#REF!</v>
      </c>
      <c r="AA36" t="e">
        <f>AND(#REF!,"AAAAAFf89xo=")</f>
        <v>#REF!</v>
      </c>
      <c r="AB36" t="e">
        <f>AND(#REF!,"AAAAAFf89xs=")</f>
        <v>#REF!</v>
      </c>
      <c r="AC36" t="e">
        <f>AND(#REF!,"AAAAAFf89xw=")</f>
        <v>#REF!</v>
      </c>
      <c r="AD36" t="e">
        <f>AND(#REF!,"AAAAAFf89x0=")</f>
        <v>#REF!</v>
      </c>
      <c r="AE36" t="e">
        <f>AND(#REF!,"AAAAAFf89x4=")</f>
        <v>#REF!</v>
      </c>
      <c r="AF36" t="e">
        <f>AND(#REF!,"AAAAAFf89x8=")</f>
        <v>#REF!</v>
      </c>
      <c r="AG36" t="e">
        <f>AND(#REF!,"AAAAAFf89yA=")</f>
        <v>#REF!</v>
      </c>
      <c r="AH36" t="e">
        <f>AND(#REF!,"AAAAAFf89yE=")</f>
        <v>#REF!</v>
      </c>
      <c r="AI36" t="e">
        <f>AND(#REF!,"AAAAAFf89yI=")</f>
        <v>#REF!</v>
      </c>
      <c r="AJ36" t="e">
        <f>AND(#REF!,"AAAAAFf89yM=")</f>
        <v>#REF!</v>
      </c>
      <c r="AK36" t="e">
        <f>AND(#REF!,"AAAAAFf89yQ=")</f>
        <v>#REF!</v>
      </c>
      <c r="AL36" t="e">
        <f>AND(#REF!,"AAAAAFf89yU=")</f>
        <v>#REF!</v>
      </c>
      <c r="AM36" t="e">
        <f>AND(#REF!,"AAAAAFf89yY=")</f>
        <v>#REF!</v>
      </c>
      <c r="AN36" t="e">
        <f>IF(#REF!,"AAAAAFf89yc=",0)</f>
        <v>#REF!</v>
      </c>
      <c r="AO36" t="e">
        <f>AND(#REF!,"AAAAAFf89yg=")</f>
        <v>#REF!</v>
      </c>
      <c r="AP36" t="e">
        <f>AND(#REF!,"AAAAAFf89yk=")</f>
        <v>#REF!</v>
      </c>
      <c r="AQ36" t="e">
        <f>AND(#REF!,"AAAAAFf89yo=")</f>
        <v>#REF!</v>
      </c>
      <c r="AR36" t="e">
        <f>AND(#REF!,"AAAAAFf89ys=")</f>
        <v>#REF!</v>
      </c>
      <c r="AS36" t="e">
        <f>AND(#REF!,"AAAAAFf89yw=")</f>
        <v>#REF!</v>
      </c>
      <c r="AT36" t="e">
        <f>AND(#REF!,"AAAAAFf89y0=")</f>
        <v>#REF!</v>
      </c>
      <c r="AU36" t="e">
        <f>AND(#REF!,"AAAAAFf89y4=")</f>
        <v>#REF!</v>
      </c>
      <c r="AV36" t="e">
        <f>AND(#REF!,"AAAAAFf89y8=")</f>
        <v>#REF!</v>
      </c>
      <c r="AW36" t="e">
        <f>AND(#REF!,"AAAAAFf89zA=")</f>
        <v>#REF!</v>
      </c>
      <c r="AX36" t="e">
        <f>AND(#REF!,"AAAAAFf89zE=")</f>
        <v>#REF!</v>
      </c>
      <c r="AY36" t="e">
        <f>AND(#REF!,"AAAAAFf89zI=")</f>
        <v>#REF!</v>
      </c>
      <c r="AZ36" t="e">
        <f>AND(#REF!,"AAAAAFf89zM=")</f>
        <v>#REF!</v>
      </c>
      <c r="BA36" t="e">
        <f>AND(#REF!,"AAAAAFf89zQ=")</f>
        <v>#REF!</v>
      </c>
      <c r="BB36" t="e">
        <f>AND(#REF!,"AAAAAFf89zU=")</f>
        <v>#REF!</v>
      </c>
      <c r="BC36" t="e">
        <f>AND(#REF!,"AAAAAFf89zY=")</f>
        <v>#REF!</v>
      </c>
      <c r="BD36" t="e">
        <f>AND(#REF!,"AAAAAFf89zc=")</f>
        <v>#REF!</v>
      </c>
      <c r="BE36" t="e">
        <f>AND(#REF!,"AAAAAFf89zg=")</f>
        <v>#REF!</v>
      </c>
      <c r="BF36" t="e">
        <f>AND(#REF!,"AAAAAFf89zk=")</f>
        <v>#REF!</v>
      </c>
      <c r="BG36" t="e">
        <f>AND(#REF!,"AAAAAFf89zo=")</f>
        <v>#REF!</v>
      </c>
      <c r="BH36" t="e">
        <f>AND(#REF!,"AAAAAFf89zs=")</f>
        <v>#REF!</v>
      </c>
      <c r="BI36" t="e">
        <f>AND(#REF!,"AAAAAFf89zw=")</f>
        <v>#REF!</v>
      </c>
      <c r="BJ36" t="e">
        <f>IF(#REF!,"AAAAAFf89z0=",0)</f>
        <v>#REF!</v>
      </c>
      <c r="BK36" t="e">
        <f>AND(#REF!,"AAAAAFf89z4=")</f>
        <v>#REF!</v>
      </c>
      <c r="BL36" t="e">
        <f>AND(#REF!,"AAAAAFf89z8=")</f>
        <v>#REF!</v>
      </c>
      <c r="BM36" t="e">
        <f>AND(#REF!,"AAAAAFf890A=")</f>
        <v>#REF!</v>
      </c>
      <c r="BN36" t="e">
        <f>AND(#REF!,"AAAAAFf890E=")</f>
        <v>#REF!</v>
      </c>
      <c r="BO36" t="e">
        <f>AND(#REF!,"AAAAAFf890I=")</f>
        <v>#REF!</v>
      </c>
      <c r="BP36" t="e">
        <f>AND(#REF!,"AAAAAFf890M=")</f>
        <v>#REF!</v>
      </c>
      <c r="BQ36" t="e">
        <f>AND(#REF!,"AAAAAFf890Q=")</f>
        <v>#REF!</v>
      </c>
      <c r="BR36" t="e">
        <f>AND(#REF!,"AAAAAFf890U=")</f>
        <v>#REF!</v>
      </c>
      <c r="BS36" t="e">
        <f>AND(#REF!,"AAAAAFf890Y=")</f>
        <v>#REF!</v>
      </c>
      <c r="BT36" t="e">
        <f>AND(#REF!,"AAAAAFf890c=")</f>
        <v>#REF!</v>
      </c>
      <c r="BU36" t="e">
        <f>AND(#REF!,"AAAAAFf890g=")</f>
        <v>#REF!</v>
      </c>
      <c r="BV36" t="e">
        <f>AND(#REF!,"AAAAAFf890k=")</f>
        <v>#REF!</v>
      </c>
      <c r="BW36" t="e">
        <f>AND(#REF!,"AAAAAFf890o=")</f>
        <v>#REF!</v>
      </c>
      <c r="BX36" t="e">
        <f>AND(#REF!,"AAAAAFf890s=")</f>
        <v>#REF!</v>
      </c>
      <c r="BY36" t="e">
        <f>AND(#REF!,"AAAAAFf890w=")</f>
        <v>#REF!</v>
      </c>
      <c r="BZ36" t="e">
        <f>AND(#REF!,"AAAAAFf8900=")</f>
        <v>#REF!</v>
      </c>
      <c r="CA36" t="e">
        <f>AND(#REF!,"AAAAAFf8904=")</f>
        <v>#REF!</v>
      </c>
      <c r="CB36" t="e">
        <f>AND(#REF!,"AAAAAFf8908=")</f>
        <v>#REF!</v>
      </c>
      <c r="CC36" t="e">
        <f>AND(#REF!,"AAAAAFf891A=")</f>
        <v>#REF!</v>
      </c>
      <c r="CD36" t="e">
        <f>AND(#REF!,"AAAAAFf891E=")</f>
        <v>#REF!</v>
      </c>
      <c r="CE36" t="e">
        <f>AND(#REF!,"AAAAAFf891I=")</f>
        <v>#REF!</v>
      </c>
      <c r="CF36" t="e">
        <f>IF(#REF!,"AAAAAFf891M=",0)</f>
        <v>#REF!</v>
      </c>
      <c r="CG36" t="e">
        <f>AND(#REF!,"AAAAAFf891Q=")</f>
        <v>#REF!</v>
      </c>
      <c r="CH36" t="e">
        <f>AND(#REF!,"AAAAAFf891U=")</f>
        <v>#REF!</v>
      </c>
      <c r="CI36" t="e">
        <f>AND(#REF!,"AAAAAFf891Y=")</f>
        <v>#REF!</v>
      </c>
      <c r="CJ36" t="e">
        <f>AND(#REF!,"AAAAAFf891c=")</f>
        <v>#REF!</v>
      </c>
      <c r="CK36" t="e">
        <f>AND(#REF!,"AAAAAFf891g=")</f>
        <v>#REF!</v>
      </c>
      <c r="CL36" t="e">
        <f>AND(#REF!,"AAAAAFf891k=")</f>
        <v>#REF!</v>
      </c>
      <c r="CM36" t="e">
        <f>AND(#REF!,"AAAAAFf891o=")</f>
        <v>#REF!</v>
      </c>
      <c r="CN36" t="e">
        <f>AND(#REF!,"AAAAAFf891s=")</f>
        <v>#REF!</v>
      </c>
      <c r="CO36" t="e">
        <f>AND(#REF!,"AAAAAFf891w=")</f>
        <v>#REF!</v>
      </c>
      <c r="CP36" t="e">
        <f>AND(#REF!,"AAAAAFf8910=")</f>
        <v>#REF!</v>
      </c>
      <c r="CQ36" t="e">
        <f>AND(#REF!,"AAAAAFf8914=")</f>
        <v>#REF!</v>
      </c>
      <c r="CR36" t="e">
        <f>AND(#REF!,"AAAAAFf8918=")</f>
        <v>#REF!</v>
      </c>
      <c r="CS36" t="e">
        <f>AND(#REF!,"AAAAAFf892A=")</f>
        <v>#REF!</v>
      </c>
      <c r="CT36" t="e">
        <f>AND(#REF!,"AAAAAFf892E=")</f>
        <v>#REF!</v>
      </c>
      <c r="CU36" t="e">
        <f>AND(#REF!,"AAAAAFf892I=")</f>
        <v>#REF!</v>
      </c>
      <c r="CV36" t="e">
        <f>AND(#REF!,"AAAAAFf892M=")</f>
        <v>#REF!</v>
      </c>
      <c r="CW36" t="e">
        <f>AND(#REF!,"AAAAAFf892Q=")</f>
        <v>#REF!</v>
      </c>
      <c r="CX36" t="e">
        <f>AND(#REF!,"AAAAAFf892U=")</f>
        <v>#REF!</v>
      </c>
      <c r="CY36" t="e">
        <f>AND(#REF!,"AAAAAFf892Y=")</f>
        <v>#REF!</v>
      </c>
      <c r="CZ36" t="e">
        <f>AND(#REF!,"AAAAAFf892c=")</f>
        <v>#REF!</v>
      </c>
      <c r="DA36" t="e">
        <f>AND(#REF!,"AAAAAFf892g=")</f>
        <v>#REF!</v>
      </c>
      <c r="DB36" t="e">
        <f>IF(#REF!,"AAAAAFf892k=",0)</f>
        <v>#REF!</v>
      </c>
      <c r="DC36" t="e">
        <f>AND(#REF!,"AAAAAFf892o=")</f>
        <v>#REF!</v>
      </c>
      <c r="DD36" t="e">
        <f>AND(#REF!,"AAAAAFf892s=")</f>
        <v>#REF!</v>
      </c>
      <c r="DE36" t="e">
        <f>AND(#REF!,"AAAAAFf892w=")</f>
        <v>#REF!</v>
      </c>
      <c r="DF36" t="e">
        <f>AND(#REF!,"AAAAAFf8920=")</f>
        <v>#REF!</v>
      </c>
      <c r="DG36" t="e">
        <f>AND(#REF!,"AAAAAFf8924=")</f>
        <v>#REF!</v>
      </c>
      <c r="DH36" t="e">
        <f>AND(#REF!,"AAAAAFf8928=")</f>
        <v>#REF!</v>
      </c>
      <c r="DI36" t="e">
        <f>AND(#REF!,"AAAAAFf893A=")</f>
        <v>#REF!</v>
      </c>
      <c r="DJ36" t="e">
        <f>AND(#REF!,"AAAAAFf893E=")</f>
        <v>#REF!</v>
      </c>
      <c r="DK36" t="e">
        <f>AND(#REF!,"AAAAAFf893I=")</f>
        <v>#REF!</v>
      </c>
      <c r="DL36" t="e">
        <f>AND(#REF!,"AAAAAFf893M=")</f>
        <v>#REF!</v>
      </c>
      <c r="DM36" t="e">
        <f>AND(#REF!,"AAAAAFf893Q=")</f>
        <v>#REF!</v>
      </c>
      <c r="DN36" t="e">
        <f>AND(#REF!,"AAAAAFf893U=")</f>
        <v>#REF!</v>
      </c>
      <c r="DO36" t="e">
        <f>AND(#REF!,"AAAAAFf893Y=")</f>
        <v>#REF!</v>
      </c>
      <c r="DP36" t="e">
        <f>AND(#REF!,"AAAAAFf893c=")</f>
        <v>#REF!</v>
      </c>
      <c r="DQ36" t="e">
        <f>AND(#REF!,"AAAAAFf893g=")</f>
        <v>#REF!</v>
      </c>
      <c r="DR36" t="e">
        <f>AND(#REF!,"AAAAAFf893k=")</f>
        <v>#REF!</v>
      </c>
      <c r="DS36" t="e">
        <f>AND(#REF!,"AAAAAFf893o=")</f>
        <v>#REF!</v>
      </c>
      <c r="DT36" t="e">
        <f>AND(#REF!,"AAAAAFf893s=")</f>
        <v>#REF!</v>
      </c>
      <c r="DU36" t="e">
        <f>AND(#REF!,"AAAAAFf893w=")</f>
        <v>#REF!</v>
      </c>
      <c r="DV36" t="e">
        <f>AND(#REF!,"AAAAAFf8930=")</f>
        <v>#REF!</v>
      </c>
      <c r="DW36" t="e">
        <f>AND(#REF!,"AAAAAFf8934=")</f>
        <v>#REF!</v>
      </c>
      <c r="DX36" t="e">
        <f>IF(#REF!,"AAAAAFf8938=",0)</f>
        <v>#REF!</v>
      </c>
      <c r="DY36" t="e">
        <f>AND(#REF!,"AAAAAFf894A=")</f>
        <v>#REF!</v>
      </c>
      <c r="DZ36" t="e">
        <f>AND(#REF!,"AAAAAFf894E=")</f>
        <v>#REF!</v>
      </c>
      <c r="EA36" t="e">
        <f>AND(#REF!,"AAAAAFf894I=")</f>
        <v>#REF!</v>
      </c>
      <c r="EB36" t="e">
        <f>AND(#REF!,"AAAAAFf894M=")</f>
        <v>#REF!</v>
      </c>
      <c r="EC36" t="e">
        <f>AND(#REF!,"AAAAAFf894Q=")</f>
        <v>#REF!</v>
      </c>
      <c r="ED36" t="e">
        <f>AND(#REF!,"AAAAAFf894U=")</f>
        <v>#REF!</v>
      </c>
      <c r="EE36" t="e">
        <f>AND(#REF!,"AAAAAFf894Y=")</f>
        <v>#REF!</v>
      </c>
      <c r="EF36" t="e">
        <f>AND(#REF!,"AAAAAFf894c=")</f>
        <v>#REF!</v>
      </c>
      <c r="EG36" t="e">
        <f>AND(#REF!,"AAAAAFf894g=")</f>
        <v>#REF!</v>
      </c>
      <c r="EH36" t="e">
        <f>AND(#REF!,"AAAAAFf894k=")</f>
        <v>#REF!</v>
      </c>
      <c r="EI36" t="e">
        <f>AND(#REF!,"AAAAAFf894o=")</f>
        <v>#REF!</v>
      </c>
      <c r="EJ36" t="e">
        <f>AND(#REF!,"AAAAAFf894s=")</f>
        <v>#REF!</v>
      </c>
      <c r="EK36" t="e">
        <f>AND(#REF!,"AAAAAFf894w=")</f>
        <v>#REF!</v>
      </c>
      <c r="EL36" t="e">
        <f>AND(#REF!,"AAAAAFf8940=")</f>
        <v>#REF!</v>
      </c>
      <c r="EM36" t="e">
        <f>AND(#REF!,"AAAAAFf8944=")</f>
        <v>#REF!</v>
      </c>
      <c r="EN36" t="e">
        <f>AND(#REF!,"AAAAAFf8948=")</f>
        <v>#REF!</v>
      </c>
      <c r="EO36" t="e">
        <f>AND(#REF!,"AAAAAFf895A=")</f>
        <v>#REF!</v>
      </c>
      <c r="EP36" t="e">
        <f>AND(#REF!,"AAAAAFf895E=")</f>
        <v>#REF!</v>
      </c>
      <c r="EQ36" t="e">
        <f>AND(#REF!,"AAAAAFf895I=")</f>
        <v>#REF!</v>
      </c>
      <c r="ER36" t="e">
        <f>AND(#REF!,"AAAAAFf895M=")</f>
        <v>#REF!</v>
      </c>
      <c r="ES36" t="e">
        <f>AND(#REF!,"AAAAAFf895Q=")</f>
        <v>#REF!</v>
      </c>
      <c r="ET36" t="e">
        <f>IF(#REF!,"AAAAAFf895U=",0)</f>
        <v>#REF!</v>
      </c>
      <c r="EU36" t="e">
        <f>AND(#REF!,"AAAAAFf895Y=")</f>
        <v>#REF!</v>
      </c>
      <c r="EV36" t="e">
        <f>AND(#REF!,"AAAAAFf895c=")</f>
        <v>#REF!</v>
      </c>
      <c r="EW36" t="e">
        <f>AND(#REF!,"AAAAAFf895g=")</f>
        <v>#REF!</v>
      </c>
      <c r="EX36" t="e">
        <f>AND(#REF!,"AAAAAFf895k=")</f>
        <v>#REF!</v>
      </c>
      <c r="EY36" t="e">
        <f>AND(#REF!,"AAAAAFf895o=")</f>
        <v>#REF!</v>
      </c>
      <c r="EZ36" t="e">
        <f>AND(#REF!,"AAAAAFf895s=")</f>
        <v>#REF!</v>
      </c>
      <c r="FA36" t="e">
        <f>AND(#REF!,"AAAAAFf895w=")</f>
        <v>#REF!</v>
      </c>
      <c r="FB36" t="e">
        <f>AND(#REF!,"AAAAAFf8950=")</f>
        <v>#REF!</v>
      </c>
      <c r="FC36" t="e">
        <f>AND(#REF!,"AAAAAFf8954=")</f>
        <v>#REF!</v>
      </c>
      <c r="FD36" t="e">
        <f>AND(#REF!,"AAAAAFf8958=")</f>
        <v>#REF!</v>
      </c>
      <c r="FE36" t="e">
        <f>AND(#REF!,"AAAAAFf896A=")</f>
        <v>#REF!</v>
      </c>
      <c r="FF36" t="e">
        <f>AND(#REF!,"AAAAAFf896E=")</f>
        <v>#REF!</v>
      </c>
      <c r="FG36" t="e">
        <f>AND(#REF!,"AAAAAFf896I=")</f>
        <v>#REF!</v>
      </c>
      <c r="FH36" t="e">
        <f>AND(#REF!,"AAAAAFf896M=")</f>
        <v>#REF!</v>
      </c>
      <c r="FI36" t="e">
        <f>AND(#REF!,"AAAAAFf896Q=")</f>
        <v>#REF!</v>
      </c>
      <c r="FJ36" t="e">
        <f>AND(#REF!,"AAAAAFf896U=")</f>
        <v>#REF!</v>
      </c>
      <c r="FK36" t="e">
        <f>AND(#REF!,"AAAAAFf896Y=")</f>
        <v>#REF!</v>
      </c>
      <c r="FL36" t="e">
        <f>AND(#REF!,"AAAAAFf896c=")</f>
        <v>#REF!</v>
      </c>
      <c r="FM36" t="e">
        <f>AND(#REF!,"AAAAAFf896g=")</f>
        <v>#REF!</v>
      </c>
      <c r="FN36" t="e">
        <f>AND(#REF!,"AAAAAFf896k=")</f>
        <v>#REF!</v>
      </c>
      <c r="FO36" t="e">
        <f>AND(#REF!,"AAAAAFf896o=")</f>
        <v>#REF!</v>
      </c>
      <c r="FP36" t="e">
        <f>IF(#REF!,"AAAAAFf896s=",0)</f>
        <v>#REF!</v>
      </c>
      <c r="FQ36" t="e">
        <f>AND(#REF!,"AAAAAFf896w=")</f>
        <v>#REF!</v>
      </c>
      <c r="FR36" t="e">
        <f>AND(#REF!,"AAAAAFf8960=")</f>
        <v>#REF!</v>
      </c>
      <c r="FS36" t="e">
        <f>AND(#REF!,"AAAAAFf8964=")</f>
        <v>#REF!</v>
      </c>
      <c r="FT36" t="e">
        <f>AND(#REF!,"AAAAAFf8968=")</f>
        <v>#REF!</v>
      </c>
      <c r="FU36" t="e">
        <f>AND(#REF!,"AAAAAFf897A=")</f>
        <v>#REF!</v>
      </c>
      <c r="FV36" t="e">
        <f>AND(#REF!,"AAAAAFf897E=")</f>
        <v>#REF!</v>
      </c>
      <c r="FW36" t="e">
        <f>AND(#REF!,"AAAAAFf897I=")</f>
        <v>#REF!</v>
      </c>
      <c r="FX36" t="e">
        <f>AND(#REF!,"AAAAAFf897M=")</f>
        <v>#REF!</v>
      </c>
      <c r="FY36" t="e">
        <f>AND(#REF!,"AAAAAFf897Q=")</f>
        <v>#REF!</v>
      </c>
      <c r="FZ36" t="e">
        <f>AND(#REF!,"AAAAAFf897U=")</f>
        <v>#REF!</v>
      </c>
      <c r="GA36" t="e">
        <f>AND(#REF!,"AAAAAFf897Y=")</f>
        <v>#REF!</v>
      </c>
      <c r="GB36" t="e">
        <f>AND(#REF!,"AAAAAFf897c=")</f>
        <v>#REF!</v>
      </c>
      <c r="GC36" t="e">
        <f>AND(#REF!,"AAAAAFf897g=")</f>
        <v>#REF!</v>
      </c>
      <c r="GD36" t="e">
        <f>AND(#REF!,"AAAAAFf897k=")</f>
        <v>#REF!</v>
      </c>
      <c r="GE36" t="e">
        <f>AND(#REF!,"AAAAAFf897o=")</f>
        <v>#REF!</v>
      </c>
      <c r="GF36" t="e">
        <f>AND(#REF!,"AAAAAFf897s=")</f>
        <v>#REF!</v>
      </c>
      <c r="GG36" t="e">
        <f>AND(#REF!,"AAAAAFf897w=")</f>
        <v>#REF!</v>
      </c>
      <c r="GH36" t="e">
        <f>AND(#REF!,"AAAAAFf8970=")</f>
        <v>#REF!</v>
      </c>
      <c r="GI36" t="e">
        <f>AND(#REF!,"AAAAAFf8974=")</f>
        <v>#REF!</v>
      </c>
      <c r="GJ36" t="e">
        <f>AND(#REF!,"AAAAAFf8978=")</f>
        <v>#REF!</v>
      </c>
      <c r="GK36" t="e">
        <f>AND(#REF!,"AAAAAFf898A=")</f>
        <v>#REF!</v>
      </c>
      <c r="GL36" t="e">
        <f>IF(#REF!,"AAAAAFf898E=",0)</f>
        <v>#REF!</v>
      </c>
      <c r="GM36" t="e">
        <f>AND(#REF!,"AAAAAFf898I=")</f>
        <v>#REF!</v>
      </c>
      <c r="GN36" t="e">
        <f>AND(#REF!,"AAAAAFf898M=")</f>
        <v>#REF!</v>
      </c>
      <c r="GO36" t="e">
        <f>AND(#REF!,"AAAAAFf898Q=")</f>
        <v>#REF!</v>
      </c>
      <c r="GP36" t="e">
        <f>AND(#REF!,"AAAAAFf898U=")</f>
        <v>#REF!</v>
      </c>
      <c r="GQ36" t="e">
        <f>AND(#REF!,"AAAAAFf898Y=")</f>
        <v>#REF!</v>
      </c>
      <c r="GR36" t="e">
        <f>AND(#REF!,"AAAAAFf898c=")</f>
        <v>#REF!</v>
      </c>
      <c r="GS36" t="e">
        <f>AND(#REF!,"AAAAAFf898g=")</f>
        <v>#REF!</v>
      </c>
      <c r="GT36" t="e">
        <f>AND(#REF!,"AAAAAFf898k=")</f>
        <v>#REF!</v>
      </c>
      <c r="GU36" t="e">
        <f>AND(#REF!,"AAAAAFf898o=")</f>
        <v>#REF!</v>
      </c>
      <c r="GV36" t="e">
        <f>AND(#REF!,"AAAAAFf898s=")</f>
        <v>#REF!</v>
      </c>
      <c r="GW36" t="e">
        <f>AND(#REF!,"AAAAAFf898w=")</f>
        <v>#REF!</v>
      </c>
      <c r="GX36" t="e">
        <f>AND(#REF!,"AAAAAFf8980=")</f>
        <v>#REF!</v>
      </c>
      <c r="GY36" t="e">
        <f>AND(#REF!,"AAAAAFf8984=")</f>
        <v>#REF!</v>
      </c>
      <c r="GZ36" t="e">
        <f>AND(#REF!,"AAAAAFf8988=")</f>
        <v>#REF!</v>
      </c>
      <c r="HA36" t="e">
        <f>AND(#REF!,"AAAAAFf899A=")</f>
        <v>#REF!</v>
      </c>
      <c r="HB36" t="e">
        <f>AND(#REF!,"AAAAAFf899E=")</f>
        <v>#REF!</v>
      </c>
      <c r="HC36" t="e">
        <f>AND(#REF!,"AAAAAFf899I=")</f>
        <v>#REF!</v>
      </c>
      <c r="HD36" t="e">
        <f>AND(#REF!,"AAAAAFf899M=")</f>
        <v>#REF!</v>
      </c>
      <c r="HE36" t="e">
        <f>AND(#REF!,"AAAAAFf899Q=")</f>
        <v>#REF!</v>
      </c>
      <c r="HF36" t="e">
        <f>AND(#REF!,"AAAAAFf899U=")</f>
        <v>#REF!</v>
      </c>
      <c r="HG36" t="e">
        <f>AND(#REF!,"AAAAAFf899Y=")</f>
        <v>#REF!</v>
      </c>
      <c r="HH36" t="e">
        <f>IF(#REF!,"AAAAAFf899c=",0)</f>
        <v>#REF!</v>
      </c>
      <c r="HI36" t="e">
        <f>AND(#REF!,"AAAAAFf899g=")</f>
        <v>#REF!</v>
      </c>
      <c r="HJ36" t="e">
        <f>AND(#REF!,"AAAAAFf899k=")</f>
        <v>#REF!</v>
      </c>
      <c r="HK36" t="e">
        <f>AND(#REF!,"AAAAAFf899o=")</f>
        <v>#REF!</v>
      </c>
      <c r="HL36" t="e">
        <f>AND(#REF!,"AAAAAFf899s=")</f>
        <v>#REF!</v>
      </c>
      <c r="HM36" t="e">
        <f>AND(#REF!,"AAAAAFf899w=")</f>
        <v>#REF!</v>
      </c>
      <c r="HN36" t="e">
        <f>AND(#REF!,"AAAAAFf8990=")</f>
        <v>#REF!</v>
      </c>
      <c r="HO36" t="e">
        <f>AND(#REF!,"AAAAAFf8994=")</f>
        <v>#REF!</v>
      </c>
      <c r="HP36" t="e">
        <f>AND(#REF!,"AAAAAFf8998=")</f>
        <v>#REF!</v>
      </c>
      <c r="HQ36" t="e">
        <f>AND(#REF!,"AAAAAFf89+A=")</f>
        <v>#REF!</v>
      </c>
      <c r="HR36" t="e">
        <f>AND(#REF!,"AAAAAFf89+E=")</f>
        <v>#REF!</v>
      </c>
      <c r="HS36" t="e">
        <f>AND(#REF!,"AAAAAFf89+I=")</f>
        <v>#REF!</v>
      </c>
      <c r="HT36" t="e">
        <f>AND(#REF!,"AAAAAFf89+M=")</f>
        <v>#REF!</v>
      </c>
      <c r="HU36" t="e">
        <f>AND(#REF!,"AAAAAFf89+Q=")</f>
        <v>#REF!</v>
      </c>
      <c r="HV36" t="e">
        <f>AND(#REF!,"AAAAAFf89+U=")</f>
        <v>#REF!</v>
      </c>
      <c r="HW36" t="e">
        <f>AND(#REF!,"AAAAAFf89+Y=")</f>
        <v>#REF!</v>
      </c>
      <c r="HX36" t="e">
        <f>AND(#REF!,"AAAAAFf89+c=")</f>
        <v>#REF!</v>
      </c>
      <c r="HY36" t="e">
        <f>AND(#REF!,"AAAAAFf89+g=")</f>
        <v>#REF!</v>
      </c>
      <c r="HZ36" t="e">
        <f>AND(#REF!,"AAAAAFf89+k=")</f>
        <v>#REF!</v>
      </c>
      <c r="IA36" t="e">
        <f>AND(#REF!,"AAAAAFf89+o=")</f>
        <v>#REF!</v>
      </c>
      <c r="IB36" t="e">
        <f>AND(#REF!,"AAAAAFf89+s=")</f>
        <v>#REF!</v>
      </c>
      <c r="IC36" t="e">
        <f>AND(#REF!,"AAAAAFf89+w=")</f>
        <v>#REF!</v>
      </c>
      <c r="ID36" t="e">
        <f>IF(#REF!,"AAAAAFf89+0=",0)</f>
        <v>#REF!</v>
      </c>
      <c r="IE36" t="e">
        <f>AND(#REF!,"AAAAAFf89+4=")</f>
        <v>#REF!</v>
      </c>
      <c r="IF36" t="e">
        <f>AND(#REF!,"AAAAAFf89+8=")</f>
        <v>#REF!</v>
      </c>
      <c r="IG36" t="e">
        <f>AND(#REF!,"AAAAAFf89/A=")</f>
        <v>#REF!</v>
      </c>
      <c r="IH36" t="e">
        <f>AND(#REF!,"AAAAAFf89/E=")</f>
        <v>#REF!</v>
      </c>
      <c r="II36" t="e">
        <f>AND(#REF!,"AAAAAFf89/I=")</f>
        <v>#REF!</v>
      </c>
      <c r="IJ36" t="e">
        <f>AND(#REF!,"AAAAAFf89/M=")</f>
        <v>#REF!</v>
      </c>
      <c r="IK36" t="e">
        <f>AND(#REF!,"AAAAAFf89/Q=")</f>
        <v>#REF!</v>
      </c>
      <c r="IL36" t="e">
        <f>AND(#REF!,"AAAAAFf89/U=")</f>
        <v>#REF!</v>
      </c>
      <c r="IM36" t="e">
        <f>AND(#REF!,"AAAAAFf89/Y=")</f>
        <v>#REF!</v>
      </c>
      <c r="IN36" t="e">
        <f>AND(#REF!,"AAAAAFf89/c=")</f>
        <v>#REF!</v>
      </c>
      <c r="IO36" t="e">
        <f>AND(#REF!,"AAAAAFf89/g=")</f>
        <v>#REF!</v>
      </c>
      <c r="IP36" t="e">
        <f>AND(#REF!,"AAAAAFf89/k=")</f>
        <v>#REF!</v>
      </c>
      <c r="IQ36" t="e">
        <f>AND(#REF!,"AAAAAFf89/o=")</f>
        <v>#REF!</v>
      </c>
      <c r="IR36" t="e">
        <f>AND(#REF!,"AAAAAFf89/s=")</f>
        <v>#REF!</v>
      </c>
      <c r="IS36" t="e">
        <f>AND(#REF!,"AAAAAFf89/w=")</f>
        <v>#REF!</v>
      </c>
      <c r="IT36" t="e">
        <f>AND(#REF!,"AAAAAFf89/0=")</f>
        <v>#REF!</v>
      </c>
      <c r="IU36" t="e">
        <f>AND(#REF!,"AAAAAFf89/4=")</f>
        <v>#REF!</v>
      </c>
      <c r="IV36" t="e">
        <f>AND(#REF!,"AAAAAFf89/8=")</f>
        <v>#REF!</v>
      </c>
    </row>
    <row r="37" spans="1:256">
      <c r="A37" t="e">
        <f>AND(#REF!,"AAAAAHY/HwA=")</f>
        <v>#REF!</v>
      </c>
      <c r="B37" t="e">
        <f>AND(#REF!,"AAAAAHY/HwE=")</f>
        <v>#REF!</v>
      </c>
      <c r="C37" t="e">
        <f>AND(#REF!,"AAAAAHY/HwI=")</f>
        <v>#REF!</v>
      </c>
      <c r="D37" t="e">
        <f>IF(#REF!,"AAAAAHY/HwM=",0)</f>
        <v>#REF!</v>
      </c>
      <c r="E37" t="e">
        <f>AND(#REF!,"AAAAAHY/HwQ=")</f>
        <v>#REF!</v>
      </c>
      <c r="F37" t="e">
        <f>AND(#REF!,"AAAAAHY/HwU=")</f>
        <v>#REF!</v>
      </c>
      <c r="G37" t="e">
        <f>AND(#REF!,"AAAAAHY/HwY=")</f>
        <v>#REF!</v>
      </c>
      <c r="H37" t="e">
        <f>AND(#REF!,"AAAAAHY/Hwc=")</f>
        <v>#REF!</v>
      </c>
      <c r="I37" t="e">
        <f>AND(#REF!,"AAAAAHY/Hwg=")</f>
        <v>#REF!</v>
      </c>
      <c r="J37" t="e">
        <f>AND(#REF!,"AAAAAHY/Hwk=")</f>
        <v>#REF!</v>
      </c>
      <c r="K37" t="e">
        <f>AND(#REF!,"AAAAAHY/Hwo=")</f>
        <v>#REF!</v>
      </c>
      <c r="L37" t="e">
        <f>AND(#REF!,"AAAAAHY/Hws=")</f>
        <v>#REF!</v>
      </c>
      <c r="M37" t="e">
        <f>AND(#REF!,"AAAAAHY/Hww=")</f>
        <v>#REF!</v>
      </c>
      <c r="N37" t="e">
        <f>AND(#REF!,"AAAAAHY/Hw0=")</f>
        <v>#REF!</v>
      </c>
      <c r="O37" t="e">
        <f>AND(#REF!,"AAAAAHY/Hw4=")</f>
        <v>#REF!</v>
      </c>
      <c r="P37" t="e">
        <f>AND(#REF!,"AAAAAHY/Hw8=")</f>
        <v>#REF!</v>
      </c>
      <c r="Q37" t="e">
        <f>AND(#REF!,"AAAAAHY/HxA=")</f>
        <v>#REF!</v>
      </c>
      <c r="R37" t="e">
        <f>AND(#REF!,"AAAAAHY/HxE=")</f>
        <v>#REF!</v>
      </c>
      <c r="S37" t="e">
        <f>AND(#REF!,"AAAAAHY/HxI=")</f>
        <v>#REF!</v>
      </c>
      <c r="T37" t="e">
        <f>AND(#REF!,"AAAAAHY/HxM=")</f>
        <v>#REF!</v>
      </c>
      <c r="U37" t="e">
        <f>AND(#REF!,"AAAAAHY/HxQ=")</f>
        <v>#REF!</v>
      </c>
      <c r="V37" t="e">
        <f>AND(#REF!,"AAAAAHY/HxU=")</f>
        <v>#REF!</v>
      </c>
      <c r="W37" t="e">
        <f>AND(#REF!,"AAAAAHY/HxY=")</f>
        <v>#REF!</v>
      </c>
      <c r="X37" t="e">
        <f>AND(#REF!,"AAAAAHY/Hxc=")</f>
        <v>#REF!</v>
      </c>
      <c r="Y37" t="e">
        <f>AND(#REF!,"AAAAAHY/Hxg=")</f>
        <v>#REF!</v>
      </c>
      <c r="Z37" t="e">
        <f>IF(#REF!,"AAAAAHY/Hxk=",0)</f>
        <v>#REF!</v>
      </c>
      <c r="AA37" t="e">
        <f>AND(#REF!,"AAAAAHY/Hxo=")</f>
        <v>#REF!</v>
      </c>
      <c r="AB37" t="e">
        <f>AND(#REF!,"AAAAAHY/Hxs=")</f>
        <v>#REF!</v>
      </c>
      <c r="AC37" t="e">
        <f>AND(#REF!,"AAAAAHY/Hxw=")</f>
        <v>#REF!</v>
      </c>
      <c r="AD37" t="e">
        <f>AND(#REF!,"AAAAAHY/Hx0=")</f>
        <v>#REF!</v>
      </c>
      <c r="AE37" t="e">
        <f>AND(#REF!,"AAAAAHY/Hx4=")</f>
        <v>#REF!</v>
      </c>
      <c r="AF37" t="e">
        <f>AND(#REF!,"AAAAAHY/Hx8=")</f>
        <v>#REF!</v>
      </c>
      <c r="AG37" t="e">
        <f>AND(#REF!,"AAAAAHY/HyA=")</f>
        <v>#REF!</v>
      </c>
      <c r="AH37" t="e">
        <f>AND(#REF!,"AAAAAHY/HyE=")</f>
        <v>#REF!</v>
      </c>
      <c r="AI37" t="e">
        <f>AND(#REF!,"AAAAAHY/HyI=")</f>
        <v>#REF!</v>
      </c>
      <c r="AJ37" t="e">
        <f>AND(#REF!,"AAAAAHY/HyM=")</f>
        <v>#REF!</v>
      </c>
      <c r="AK37" t="e">
        <f>AND(#REF!,"AAAAAHY/HyQ=")</f>
        <v>#REF!</v>
      </c>
      <c r="AL37" t="e">
        <f>AND(#REF!,"AAAAAHY/HyU=")</f>
        <v>#REF!</v>
      </c>
      <c r="AM37" t="e">
        <f>AND(#REF!,"AAAAAHY/HyY=")</f>
        <v>#REF!</v>
      </c>
      <c r="AN37" t="e">
        <f>AND(#REF!,"AAAAAHY/Hyc=")</f>
        <v>#REF!</v>
      </c>
      <c r="AO37" t="e">
        <f>AND(#REF!,"AAAAAHY/Hyg=")</f>
        <v>#REF!</v>
      </c>
      <c r="AP37" t="e">
        <f>AND(#REF!,"AAAAAHY/Hyk=")</f>
        <v>#REF!</v>
      </c>
      <c r="AQ37" t="e">
        <f>AND(#REF!,"AAAAAHY/Hyo=")</f>
        <v>#REF!</v>
      </c>
      <c r="AR37" t="e">
        <f>AND(#REF!,"AAAAAHY/Hys=")</f>
        <v>#REF!</v>
      </c>
      <c r="AS37" t="e">
        <f>AND(#REF!,"AAAAAHY/Hyw=")</f>
        <v>#REF!</v>
      </c>
      <c r="AT37" t="e">
        <f>AND(#REF!,"AAAAAHY/Hy0=")</f>
        <v>#REF!</v>
      </c>
      <c r="AU37" t="e">
        <f>AND(#REF!,"AAAAAHY/Hy4=")</f>
        <v>#REF!</v>
      </c>
      <c r="AV37" t="e">
        <f>IF(#REF!,"AAAAAHY/Hy8=",0)</f>
        <v>#REF!</v>
      </c>
      <c r="AW37" t="e">
        <f>AND(#REF!,"AAAAAHY/HzA=")</f>
        <v>#REF!</v>
      </c>
      <c r="AX37" t="e">
        <f>AND(#REF!,"AAAAAHY/HzE=")</f>
        <v>#REF!</v>
      </c>
      <c r="AY37" t="e">
        <f>AND(#REF!,"AAAAAHY/HzI=")</f>
        <v>#REF!</v>
      </c>
      <c r="AZ37" t="e">
        <f>AND(#REF!,"AAAAAHY/HzM=")</f>
        <v>#REF!</v>
      </c>
      <c r="BA37" t="e">
        <f>AND(#REF!,"AAAAAHY/HzQ=")</f>
        <v>#REF!</v>
      </c>
      <c r="BB37" t="e">
        <f>AND(#REF!,"AAAAAHY/HzU=")</f>
        <v>#REF!</v>
      </c>
      <c r="BC37" t="e">
        <f>AND(#REF!,"AAAAAHY/HzY=")</f>
        <v>#REF!</v>
      </c>
      <c r="BD37" t="e">
        <f>AND(#REF!,"AAAAAHY/Hzc=")</f>
        <v>#REF!</v>
      </c>
      <c r="BE37" t="e">
        <f>AND(#REF!,"AAAAAHY/Hzg=")</f>
        <v>#REF!</v>
      </c>
      <c r="BF37" t="e">
        <f>AND(#REF!,"AAAAAHY/Hzk=")</f>
        <v>#REF!</v>
      </c>
      <c r="BG37" t="e">
        <f>AND(#REF!,"AAAAAHY/Hzo=")</f>
        <v>#REF!</v>
      </c>
      <c r="BH37" t="e">
        <f>AND(#REF!,"AAAAAHY/Hzs=")</f>
        <v>#REF!</v>
      </c>
      <c r="BI37" t="e">
        <f>AND(#REF!,"AAAAAHY/Hzw=")</f>
        <v>#REF!</v>
      </c>
      <c r="BJ37" t="e">
        <f>AND(#REF!,"AAAAAHY/Hz0=")</f>
        <v>#REF!</v>
      </c>
      <c r="BK37" t="e">
        <f>AND(#REF!,"AAAAAHY/Hz4=")</f>
        <v>#REF!</v>
      </c>
      <c r="BL37" t="e">
        <f>AND(#REF!,"AAAAAHY/Hz8=")</f>
        <v>#REF!</v>
      </c>
      <c r="BM37" t="e">
        <f>AND(#REF!,"AAAAAHY/H0A=")</f>
        <v>#REF!</v>
      </c>
      <c r="BN37" t="e">
        <f>AND(#REF!,"AAAAAHY/H0E=")</f>
        <v>#REF!</v>
      </c>
      <c r="BO37" t="e">
        <f>AND(#REF!,"AAAAAHY/H0I=")</f>
        <v>#REF!</v>
      </c>
      <c r="BP37" t="e">
        <f>AND(#REF!,"AAAAAHY/H0M=")</f>
        <v>#REF!</v>
      </c>
      <c r="BQ37" t="e">
        <f>AND(#REF!,"AAAAAHY/H0Q=")</f>
        <v>#REF!</v>
      </c>
      <c r="BR37" t="e">
        <f>IF(#REF!,"AAAAAHY/H0U=",0)</f>
        <v>#REF!</v>
      </c>
      <c r="BS37" t="e">
        <f>AND(#REF!,"AAAAAHY/H0Y=")</f>
        <v>#REF!</v>
      </c>
      <c r="BT37" t="e">
        <f>AND(#REF!,"AAAAAHY/H0c=")</f>
        <v>#REF!</v>
      </c>
      <c r="BU37" t="e">
        <f>AND(#REF!,"AAAAAHY/H0g=")</f>
        <v>#REF!</v>
      </c>
      <c r="BV37" t="e">
        <f>AND(#REF!,"AAAAAHY/H0k=")</f>
        <v>#REF!</v>
      </c>
      <c r="BW37" t="e">
        <f>AND(#REF!,"AAAAAHY/H0o=")</f>
        <v>#REF!</v>
      </c>
      <c r="BX37" t="e">
        <f>AND(#REF!,"AAAAAHY/H0s=")</f>
        <v>#REF!</v>
      </c>
      <c r="BY37" t="e">
        <f>AND(#REF!,"AAAAAHY/H0w=")</f>
        <v>#REF!</v>
      </c>
      <c r="BZ37" t="e">
        <f>AND(#REF!,"AAAAAHY/H00=")</f>
        <v>#REF!</v>
      </c>
      <c r="CA37" t="e">
        <f>AND(#REF!,"AAAAAHY/H04=")</f>
        <v>#REF!</v>
      </c>
      <c r="CB37" t="e">
        <f>AND(#REF!,"AAAAAHY/H08=")</f>
        <v>#REF!</v>
      </c>
      <c r="CC37" t="e">
        <f>AND(#REF!,"AAAAAHY/H1A=")</f>
        <v>#REF!</v>
      </c>
      <c r="CD37" t="e">
        <f>AND(#REF!,"AAAAAHY/H1E=")</f>
        <v>#REF!</v>
      </c>
      <c r="CE37" t="e">
        <f>AND(#REF!,"AAAAAHY/H1I=")</f>
        <v>#REF!</v>
      </c>
      <c r="CF37" t="e">
        <f>AND(#REF!,"AAAAAHY/H1M=")</f>
        <v>#REF!</v>
      </c>
      <c r="CG37" t="e">
        <f>AND(#REF!,"AAAAAHY/H1Q=")</f>
        <v>#REF!</v>
      </c>
      <c r="CH37" t="e">
        <f>AND(#REF!,"AAAAAHY/H1U=")</f>
        <v>#REF!</v>
      </c>
      <c r="CI37" t="e">
        <f>AND(#REF!,"AAAAAHY/H1Y=")</f>
        <v>#REF!</v>
      </c>
      <c r="CJ37" t="e">
        <f>AND(#REF!,"AAAAAHY/H1c=")</f>
        <v>#REF!</v>
      </c>
      <c r="CK37" t="e">
        <f>AND(#REF!,"AAAAAHY/H1g=")</f>
        <v>#REF!</v>
      </c>
      <c r="CL37" t="e">
        <f>AND(#REF!,"AAAAAHY/H1k=")</f>
        <v>#REF!</v>
      </c>
      <c r="CM37" t="e">
        <f>AND(#REF!,"AAAAAHY/H1o=")</f>
        <v>#REF!</v>
      </c>
      <c r="CN37" t="e">
        <f>IF(#REF!,"AAAAAHY/H1s=",0)</f>
        <v>#REF!</v>
      </c>
      <c r="CO37" t="e">
        <f>AND(#REF!,"AAAAAHY/H1w=")</f>
        <v>#REF!</v>
      </c>
      <c r="CP37" t="e">
        <f>AND(#REF!,"AAAAAHY/H10=")</f>
        <v>#REF!</v>
      </c>
      <c r="CQ37" t="e">
        <f>AND(#REF!,"AAAAAHY/H14=")</f>
        <v>#REF!</v>
      </c>
      <c r="CR37" t="e">
        <f>AND(#REF!,"AAAAAHY/H18=")</f>
        <v>#REF!</v>
      </c>
      <c r="CS37" t="e">
        <f>AND(#REF!,"AAAAAHY/H2A=")</f>
        <v>#REF!</v>
      </c>
      <c r="CT37" t="e">
        <f>AND(#REF!,"AAAAAHY/H2E=")</f>
        <v>#REF!</v>
      </c>
      <c r="CU37" t="e">
        <f>AND(#REF!,"AAAAAHY/H2I=")</f>
        <v>#REF!</v>
      </c>
      <c r="CV37" t="e">
        <f>AND(#REF!,"AAAAAHY/H2M=")</f>
        <v>#REF!</v>
      </c>
      <c r="CW37" t="e">
        <f>AND(#REF!,"AAAAAHY/H2Q=")</f>
        <v>#REF!</v>
      </c>
      <c r="CX37" t="e">
        <f>AND(#REF!,"AAAAAHY/H2U=")</f>
        <v>#REF!</v>
      </c>
      <c r="CY37" t="e">
        <f>AND(#REF!,"AAAAAHY/H2Y=")</f>
        <v>#REF!</v>
      </c>
      <c r="CZ37" t="e">
        <f>AND(#REF!,"AAAAAHY/H2c=")</f>
        <v>#REF!</v>
      </c>
      <c r="DA37" t="e">
        <f>AND(#REF!,"AAAAAHY/H2g=")</f>
        <v>#REF!</v>
      </c>
      <c r="DB37" t="e">
        <f>AND(#REF!,"AAAAAHY/H2k=")</f>
        <v>#REF!</v>
      </c>
      <c r="DC37" t="e">
        <f>AND(#REF!,"AAAAAHY/H2o=")</f>
        <v>#REF!</v>
      </c>
      <c r="DD37" t="e">
        <f>AND(#REF!,"AAAAAHY/H2s=")</f>
        <v>#REF!</v>
      </c>
      <c r="DE37" t="e">
        <f>AND(#REF!,"AAAAAHY/H2w=")</f>
        <v>#REF!</v>
      </c>
      <c r="DF37" t="e">
        <f>AND(#REF!,"AAAAAHY/H20=")</f>
        <v>#REF!</v>
      </c>
      <c r="DG37" t="e">
        <f>AND(#REF!,"AAAAAHY/H24=")</f>
        <v>#REF!</v>
      </c>
      <c r="DH37" t="e">
        <f>AND(#REF!,"AAAAAHY/H28=")</f>
        <v>#REF!</v>
      </c>
      <c r="DI37" t="e">
        <f>AND(#REF!,"AAAAAHY/H3A=")</f>
        <v>#REF!</v>
      </c>
      <c r="DJ37" t="e">
        <f>IF(#REF!,"AAAAAHY/H3E=",0)</f>
        <v>#REF!</v>
      </c>
      <c r="DK37" t="e">
        <f>AND(#REF!,"AAAAAHY/H3I=")</f>
        <v>#REF!</v>
      </c>
      <c r="DL37" t="e">
        <f>AND(#REF!,"AAAAAHY/H3M=")</f>
        <v>#REF!</v>
      </c>
      <c r="DM37" t="e">
        <f>AND(#REF!,"AAAAAHY/H3Q=")</f>
        <v>#REF!</v>
      </c>
      <c r="DN37" t="e">
        <f>AND(#REF!,"AAAAAHY/H3U=")</f>
        <v>#REF!</v>
      </c>
      <c r="DO37" t="e">
        <f>AND(#REF!,"AAAAAHY/H3Y=")</f>
        <v>#REF!</v>
      </c>
      <c r="DP37" t="e">
        <f>AND(#REF!,"AAAAAHY/H3c=")</f>
        <v>#REF!</v>
      </c>
      <c r="DQ37" t="e">
        <f>AND(#REF!,"AAAAAHY/H3g=")</f>
        <v>#REF!</v>
      </c>
      <c r="DR37" t="e">
        <f>AND(#REF!,"AAAAAHY/H3k=")</f>
        <v>#REF!</v>
      </c>
      <c r="DS37" t="e">
        <f>AND(#REF!,"AAAAAHY/H3o=")</f>
        <v>#REF!</v>
      </c>
      <c r="DT37" t="e">
        <f>AND(#REF!,"AAAAAHY/H3s=")</f>
        <v>#REF!</v>
      </c>
      <c r="DU37" t="e">
        <f>AND(#REF!,"AAAAAHY/H3w=")</f>
        <v>#REF!</v>
      </c>
      <c r="DV37" t="e">
        <f>AND(#REF!,"AAAAAHY/H30=")</f>
        <v>#REF!</v>
      </c>
      <c r="DW37" t="e">
        <f>AND(#REF!,"AAAAAHY/H34=")</f>
        <v>#REF!</v>
      </c>
      <c r="DX37" t="e">
        <f>AND(#REF!,"AAAAAHY/H38=")</f>
        <v>#REF!</v>
      </c>
      <c r="DY37" t="e">
        <f>AND(#REF!,"AAAAAHY/H4A=")</f>
        <v>#REF!</v>
      </c>
      <c r="DZ37" t="e">
        <f>AND(#REF!,"AAAAAHY/H4E=")</f>
        <v>#REF!</v>
      </c>
      <c r="EA37" t="e">
        <f>AND(#REF!,"AAAAAHY/H4I=")</f>
        <v>#REF!</v>
      </c>
      <c r="EB37" t="e">
        <f>AND(#REF!,"AAAAAHY/H4M=")</f>
        <v>#REF!</v>
      </c>
      <c r="EC37" t="e">
        <f>AND(#REF!,"AAAAAHY/H4Q=")</f>
        <v>#REF!</v>
      </c>
      <c r="ED37" t="e">
        <f>AND(#REF!,"AAAAAHY/H4U=")</f>
        <v>#REF!</v>
      </c>
      <c r="EE37" t="e">
        <f>AND(#REF!,"AAAAAHY/H4Y=")</f>
        <v>#REF!</v>
      </c>
      <c r="EF37" t="e">
        <f>IF(#REF!,"AAAAAHY/H4c=",0)</f>
        <v>#REF!</v>
      </c>
      <c r="EG37" t="e">
        <f>AND(#REF!,"AAAAAHY/H4g=")</f>
        <v>#REF!</v>
      </c>
      <c r="EH37" t="e">
        <f>AND(#REF!,"AAAAAHY/H4k=")</f>
        <v>#REF!</v>
      </c>
      <c r="EI37" t="e">
        <f>AND(#REF!,"AAAAAHY/H4o=")</f>
        <v>#REF!</v>
      </c>
      <c r="EJ37" t="e">
        <f>AND(#REF!,"AAAAAHY/H4s=")</f>
        <v>#REF!</v>
      </c>
      <c r="EK37" t="e">
        <f>AND(#REF!,"AAAAAHY/H4w=")</f>
        <v>#REF!</v>
      </c>
      <c r="EL37" t="e">
        <f>AND(#REF!,"AAAAAHY/H40=")</f>
        <v>#REF!</v>
      </c>
      <c r="EM37" t="e">
        <f>AND(#REF!,"AAAAAHY/H44=")</f>
        <v>#REF!</v>
      </c>
      <c r="EN37" t="e">
        <f>AND(#REF!,"AAAAAHY/H48=")</f>
        <v>#REF!</v>
      </c>
      <c r="EO37" t="e">
        <f>AND(#REF!,"AAAAAHY/H5A=")</f>
        <v>#REF!</v>
      </c>
      <c r="EP37" t="e">
        <f>AND(#REF!,"AAAAAHY/H5E=")</f>
        <v>#REF!</v>
      </c>
      <c r="EQ37" t="e">
        <f>AND(#REF!,"AAAAAHY/H5I=")</f>
        <v>#REF!</v>
      </c>
      <c r="ER37" t="e">
        <f>AND(#REF!,"AAAAAHY/H5M=")</f>
        <v>#REF!</v>
      </c>
      <c r="ES37" t="e">
        <f>AND(#REF!,"AAAAAHY/H5Q=")</f>
        <v>#REF!</v>
      </c>
      <c r="ET37" t="e">
        <f>AND(#REF!,"AAAAAHY/H5U=")</f>
        <v>#REF!</v>
      </c>
      <c r="EU37" t="e">
        <f>AND(#REF!,"AAAAAHY/H5Y=")</f>
        <v>#REF!</v>
      </c>
      <c r="EV37" t="e">
        <f>AND(#REF!,"AAAAAHY/H5c=")</f>
        <v>#REF!</v>
      </c>
      <c r="EW37" t="e">
        <f>AND(#REF!,"AAAAAHY/H5g=")</f>
        <v>#REF!</v>
      </c>
      <c r="EX37" t="e">
        <f>AND(#REF!,"AAAAAHY/H5k=")</f>
        <v>#REF!</v>
      </c>
      <c r="EY37" t="e">
        <f>AND(#REF!,"AAAAAHY/H5o=")</f>
        <v>#REF!</v>
      </c>
      <c r="EZ37" t="e">
        <f>AND(#REF!,"AAAAAHY/H5s=")</f>
        <v>#REF!</v>
      </c>
      <c r="FA37" t="e">
        <f>AND(#REF!,"AAAAAHY/H5w=")</f>
        <v>#REF!</v>
      </c>
      <c r="FB37" t="e">
        <f>IF(#REF!,"AAAAAHY/H50=",0)</f>
        <v>#REF!</v>
      </c>
      <c r="FC37" t="e">
        <f>AND(#REF!,"AAAAAHY/H54=")</f>
        <v>#REF!</v>
      </c>
      <c r="FD37" t="e">
        <f>AND(#REF!,"AAAAAHY/H58=")</f>
        <v>#REF!</v>
      </c>
      <c r="FE37" t="e">
        <f>AND(#REF!,"AAAAAHY/H6A=")</f>
        <v>#REF!</v>
      </c>
      <c r="FF37" t="e">
        <f>AND(#REF!,"AAAAAHY/H6E=")</f>
        <v>#REF!</v>
      </c>
      <c r="FG37" t="e">
        <f>AND(#REF!,"AAAAAHY/H6I=")</f>
        <v>#REF!</v>
      </c>
      <c r="FH37" t="e">
        <f>AND(#REF!,"AAAAAHY/H6M=")</f>
        <v>#REF!</v>
      </c>
      <c r="FI37" t="e">
        <f>AND(#REF!,"AAAAAHY/H6Q=")</f>
        <v>#REF!</v>
      </c>
      <c r="FJ37" t="e">
        <f>AND(#REF!,"AAAAAHY/H6U=")</f>
        <v>#REF!</v>
      </c>
      <c r="FK37" t="e">
        <f>AND(#REF!,"AAAAAHY/H6Y=")</f>
        <v>#REF!</v>
      </c>
      <c r="FL37" t="e">
        <f>AND(#REF!,"AAAAAHY/H6c=")</f>
        <v>#REF!</v>
      </c>
      <c r="FM37" t="e">
        <f>AND(#REF!,"AAAAAHY/H6g=")</f>
        <v>#REF!</v>
      </c>
      <c r="FN37" t="e">
        <f>AND(#REF!,"AAAAAHY/H6k=")</f>
        <v>#REF!</v>
      </c>
      <c r="FO37" t="e">
        <f>AND(#REF!,"AAAAAHY/H6o=")</f>
        <v>#REF!</v>
      </c>
      <c r="FP37" t="e">
        <f>AND(#REF!,"AAAAAHY/H6s=")</f>
        <v>#REF!</v>
      </c>
      <c r="FQ37" t="e">
        <f>AND(#REF!,"AAAAAHY/H6w=")</f>
        <v>#REF!</v>
      </c>
      <c r="FR37" t="e">
        <f>AND(#REF!,"AAAAAHY/H60=")</f>
        <v>#REF!</v>
      </c>
      <c r="FS37" t="e">
        <f>AND(#REF!,"AAAAAHY/H64=")</f>
        <v>#REF!</v>
      </c>
      <c r="FT37" t="e">
        <f>AND(#REF!,"AAAAAHY/H68=")</f>
        <v>#REF!</v>
      </c>
      <c r="FU37" t="e">
        <f>AND(#REF!,"AAAAAHY/H7A=")</f>
        <v>#REF!</v>
      </c>
      <c r="FV37" t="e">
        <f>AND(#REF!,"AAAAAHY/H7E=")</f>
        <v>#REF!</v>
      </c>
      <c r="FW37" t="e">
        <f>AND(#REF!,"AAAAAHY/H7I=")</f>
        <v>#REF!</v>
      </c>
      <c r="FX37" t="e">
        <f>IF(#REF!,"AAAAAHY/H7M=",0)</f>
        <v>#REF!</v>
      </c>
      <c r="FY37" t="e">
        <f>AND(#REF!,"AAAAAHY/H7Q=")</f>
        <v>#REF!</v>
      </c>
      <c r="FZ37" t="e">
        <f>AND(#REF!,"AAAAAHY/H7U=")</f>
        <v>#REF!</v>
      </c>
      <c r="GA37" t="e">
        <f>AND(#REF!,"AAAAAHY/H7Y=")</f>
        <v>#REF!</v>
      </c>
      <c r="GB37" t="e">
        <f>AND(#REF!,"AAAAAHY/H7c=")</f>
        <v>#REF!</v>
      </c>
      <c r="GC37" t="e">
        <f>AND(#REF!,"AAAAAHY/H7g=")</f>
        <v>#REF!</v>
      </c>
      <c r="GD37" t="e">
        <f>AND(#REF!,"AAAAAHY/H7k=")</f>
        <v>#REF!</v>
      </c>
      <c r="GE37" t="e">
        <f>AND(#REF!,"AAAAAHY/H7o=")</f>
        <v>#REF!</v>
      </c>
      <c r="GF37" t="e">
        <f>AND(#REF!,"AAAAAHY/H7s=")</f>
        <v>#REF!</v>
      </c>
      <c r="GG37" t="e">
        <f>AND(#REF!,"AAAAAHY/H7w=")</f>
        <v>#REF!</v>
      </c>
      <c r="GH37" t="e">
        <f>AND(#REF!,"AAAAAHY/H70=")</f>
        <v>#REF!</v>
      </c>
      <c r="GI37" t="e">
        <f>AND(#REF!,"AAAAAHY/H74=")</f>
        <v>#REF!</v>
      </c>
      <c r="GJ37" t="e">
        <f>AND(#REF!,"AAAAAHY/H78=")</f>
        <v>#REF!</v>
      </c>
      <c r="GK37" t="e">
        <f>AND(#REF!,"AAAAAHY/H8A=")</f>
        <v>#REF!</v>
      </c>
      <c r="GL37" t="e">
        <f>AND(#REF!,"AAAAAHY/H8E=")</f>
        <v>#REF!</v>
      </c>
      <c r="GM37" t="e">
        <f>AND(#REF!,"AAAAAHY/H8I=")</f>
        <v>#REF!</v>
      </c>
      <c r="GN37" t="e">
        <f>AND(#REF!,"AAAAAHY/H8M=")</f>
        <v>#REF!</v>
      </c>
      <c r="GO37" t="e">
        <f>AND(#REF!,"AAAAAHY/H8Q=")</f>
        <v>#REF!</v>
      </c>
      <c r="GP37" t="e">
        <f>AND(#REF!,"AAAAAHY/H8U=")</f>
        <v>#REF!</v>
      </c>
      <c r="GQ37" t="e">
        <f>AND(#REF!,"AAAAAHY/H8Y=")</f>
        <v>#REF!</v>
      </c>
      <c r="GR37" t="e">
        <f>AND(#REF!,"AAAAAHY/H8c=")</f>
        <v>#REF!</v>
      </c>
      <c r="GS37" t="e">
        <f>AND(#REF!,"AAAAAHY/H8g=")</f>
        <v>#REF!</v>
      </c>
      <c r="GT37" t="e">
        <f>IF(#REF!,"AAAAAHY/H8k=",0)</f>
        <v>#REF!</v>
      </c>
      <c r="GU37" t="e">
        <f>AND(#REF!,"AAAAAHY/H8o=")</f>
        <v>#REF!</v>
      </c>
      <c r="GV37" t="e">
        <f>AND(#REF!,"AAAAAHY/H8s=")</f>
        <v>#REF!</v>
      </c>
      <c r="GW37" t="e">
        <f>AND(#REF!,"AAAAAHY/H8w=")</f>
        <v>#REF!</v>
      </c>
      <c r="GX37" t="e">
        <f>AND(#REF!,"AAAAAHY/H80=")</f>
        <v>#REF!</v>
      </c>
      <c r="GY37" t="e">
        <f>AND(#REF!,"AAAAAHY/H84=")</f>
        <v>#REF!</v>
      </c>
      <c r="GZ37" t="e">
        <f>AND(#REF!,"AAAAAHY/H88=")</f>
        <v>#REF!</v>
      </c>
      <c r="HA37" t="e">
        <f>AND(#REF!,"AAAAAHY/H9A=")</f>
        <v>#REF!</v>
      </c>
      <c r="HB37" t="e">
        <f>AND(#REF!,"AAAAAHY/H9E=")</f>
        <v>#REF!</v>
      </c>
      <c r="HC37" t="e">
        <f>AND(#REF!,"AAAAAHY/H9I=")</f>
        <v>#REF!</v>
      </c>
      <c r="HD37" t="e">
        <f>AND(#REF!,"AAAAAHY/H9M=")</f>
        <v>#REF!</v>
      </c>
      <c r="HE37" t="e">
        <f>AND(#REF!,"AAAAAHY/H9Q=")</f>
        <v>#REF!</v>
      </c>
      <c r="HF37" t="e">
        <f>AND(#REF!,"AAAAAHY/H9U=")</f>
        <v>#REF!</v>
      </c>
      <c r="HG37" t="e">
        <f>AND(#REF!,"AAAAAHY/H9Y=")</f>
        <v>#REF!</v>
      </c>
      <c r="HH37" t="e">
        <f>AND(#REF!,"AAAAAHY/H9c=")</f>
        <v>#REF!</v>
      </c>
      <c r="HI37" t="e">
        <f>AND(#REF!,"AAAAAHY/H9g=")</f>
        <v>#REF!</v>
      </c>
      <c r="HJ37" t="e">
        <f>AND(#REF!,"AAAAAHY/H9k=")</f>
        <v>#REF!</v>
      </c>
      <c r="HK37" t="e">
        <f>AND(#REF!,"AAAAAHY/H9o=")</f>
        <v>#REF!</v>
      </c>
      <c r="HL37" t="e">
        <f>AND(#REF!,"AAAAAHY/H9s=")</f>
        <v>#REF!</v>
      </c>
      <c r="HM37" t="e">
        <f>AND(#REF!,"AAAAAHY/H9w=")</f>
        <v>#REF!</v>
      </c>
      <c r="HN37" t="e">
        <f>AND(#REF!,"AAAAAHY/H90=")</f>
        <v>#REF!</v>
      </c>
      <c r="HO37" t="e">
        <f>AND(#REF!,"AAAAAHY/H94=")</f>
        <v>#REF!</v>
      </c>
      <c r="HP37" t="e">
        <f>IF(#REF!,"AAAAAHY/H98=",0)</f>
        <v>#REF!</v>
      </c>
      <c r="HQ37" t="e">
        <f>AND(#REF!,"AAAAAHY/H+A=")</f>
        <v>#REF!</v>
      </c>
      <c r="HR37" t="e">
        <f>AND(#REF!,"AAAAAHY/H+E=")</f>
        <v>#REF!</v>
      </c>
      <c r="HS37" t="e">
        <f>AND(#REF!,"AAAAAHY/H+I=")</f>
        <v>#REF!</v>
      </c>
      <c r="HT37" t="e">
        <f>AND(#REF!,"AAAAAHY/H+M=")</f>
        <v>#REF!</v>
      </c>
      <c r="HU37" t="e">
        <f>AND(#REF!,"AAAAAHY/H+Q=")</f>
        <v>#REF!</v>
      </c>
      <c r="HV37" t="e">
        <f>AND(#REF!,"AAAAAHY/H+U=")</f>
        <v>#REF!</v>
      </c>
      <c r="HW37" t="e">
        <f>AND(#REF!,"AAAAAHY/H+Y=")</f>
        <v>#REF!</v>
      </c>
      <c r="HX37" t="e">
        <f>AND(#REF!,"AAAAAHY/H+c=")</f>
        <v>#REF!</v>
      </c>
      <c r="HY37" t="e">
        <f>AND(#REF!,"AAAAAHY/H+g=")</f>
        <v>#REF!</v>
      </c>
      <c r="HZ37" t="e">
        <f>AND(#REF!,"AAAAAHY/H+k=")</f>
        <v>#REF!</v>
      </c>
      <c r="IA37" t="e">
        <f>AND(#REF!,"AAAAAHY/H+o=")</f>
        <v>#REF!</v>
      </c>
      <c r="IB37" t="e">
        <f>AND(#REF!,"AAAAAHY/H+s=")</f>
        <v>#REF!</v>
      </c>
      <c r="IC37" t="e">
        <f>AND(#REF!,"AAAAAHY/H+w=")</f>
        <v>#REF!</v>
      </c>
      <c r="ID37" t="e">
        <f>AND(#REF!,"AAAAAHY/H+0=")</f>
        <v>#REF!</v>
      </c>
      <c r="IE37" t="e">
        <f>AND(#REF!,"AAAAAHY/H+4=")</f>
        <v>#REF!</v>
      </c>
      <c r="IF37" t="e">
        <f>AND(#REF!,"AAAAAHY/H+8=")</f>
        <v>#REF!</v>
      </c>
      <c r="IG37" t="e">
        <f>AND(#REF!,"AAAAAHY/H/A=")</f>
        <v>#REF!</v>
      </c>
      <c r="IH37" t="e">
        <f>AND(#REF!,"AAAAAHY/H/E=")</f>
        <v>#REF!</v>
      </c>
      <c r="II37" t="e">
        <f>AND(#REF!,"AAAAAHY/H/I=")</f>
        <v>#REF!</v>
      </c>
      <c r="IJ37" t="e">
        <f>AND(#REF!,"AAAAAHY/H/M=")</f>
        <v>#REF!</v>
      </c>
      <c r="IK37" t="e">
        <f>AND(#REF!,"AAAAAHY/H/Q=")</f>
        <v>#REF!</v>
      </c>
      <c r="IL37" t="e">
        <f>IF(#REF!,"AAAAAHY/H/U=",0)</f>
        <v>#REF!</v>
      </c>
      <c r="IM37" t="e">
        <f>AND(#REF!,"AAAAAHY/H/Y=")</f>
        <v>#REF!</v>
      </c>
      <c r="IN37" t="e">
        <f>AND(#REF!,"AAAAAHY/H/c=")</f>
        <v>#REF!</v>
      </c>
      <c r="IO37" t="e">
        <f>AND(#REF!,"AAAAAHY/H/g=")</f>
        <v>#REF!</v>
      </c>
      <c r="IP37" t="e">
        <f>AND(#REF!,"AAAAAHY/H/k=")</f>
        <v>#REF!</v>
      </c>
      <c r="IQ37" t="e">
        <f>AND(#REF!,"AAAAAHY/H/o=")</f>
        <v>#REF!</v>
      </c>
      <c r="IR37" t="e">
        <f>AND(#REF!,"AAAAAHY/H/s=")</f>
        <v>#REF!</v>
      </c>
      <c r="IS37" t="e">
        <f>AND(#REF!,"AAAAAHY/H/w=")</f>
        <v>#REF!</v>
      </c>
      <c r="IT37" t="e">
        <f>AND(#REF!,"AAAAAHY/H/0=")</f>
        <v>#REF!</v>
      </c>
      <c r="IU37" t="e">
        <f>AND(#REF!,"AAAAAHY/H/4=")</f>
        <v>#REF!</v>
      </c>
      <c r="IV37" t="e">
        <f>AND(#REF!,"AAAAAHY/H/8=")</f>
        <v>#REF!</v>
      </c>
    </row>
    <row r="38" spans="1:256">
      <c r="A38" t="e">
        <f>AND(#REF!,"AAAAAHe9rwA=")</f>
        <v>#REF!</v>
      </c>
      <c r="B38" t="e">
        <f>AND(#REF!,"AAAAAHe9rwE=")</f>
        <v>#REF!</v>
      </c>
      <c r="C38" t="e">
        <f>AND(#REF!,"AAAAAHe9rwI=")</f>
        <v>#REF!</v>
      </c>
      <c r="D38" t="e">
        <f>AND(#REF!,"AAAAAHe9rwM=")</f>
        <v>#REF!</v>
      </c>
      <c r="E38" t="e">
        <f>AND(#REF!,"AAAAAHe9rwQ=")</f>
        <v>#REF!</v>
      </c>
      <c r="F38" t="e">
        <f>AND(#REF!,"AAAAAHe9rwU=")</f>
        <v>#REF!</v>
      </c>
      <c r="G38" t="e">
        <f>AND(#REF!,"AAAAAHe9rwY=")</f>
        <v>#REF!</v>
      </c>
      <c r="H38" t="e">
        <f>AND(#REF!,"AAAAAHe9rwc=")</f>
        <v>#REF!</v>
      </c>
      <c r="I38" t="e">
        <f>AND(#REF!,"AAAAAHe9rwg=")</f>
        <v>#REF!</v>
      </c>
      <c r="J38" t="e">
        <f>AND(#REF!,"AAAAAHe9rwk=")</f>
        <v>#REF!</v>
      </c>
      <c r="K38" t="e">
        <f>AND(#REF!,"AAAAAHe9rwo=")</f>
        <v>#REF!</v>
      </c>
      <c r="L38" t="e">
        <f>IF(#REF!,"AAAAAHe9rws=",0)</f>
        <v>#REF!</v>
      </c>
      <c r="M38" t="e">
        <f>AND(#REF!,"AAAAAHe9rww=")</f>
        <v>#REF!</v>
      </c>
      <c r="N38" t="e">
        <f>AND(#REF!,"AAAAAHe9rw0=")</f>
        <v>#REF!</v>
      </c>
      <c r="O38" t="e">
        <f>AND(#REF!,"AAAAAHe9rw4=")</f>
        <v>#REF!</v>
      </c>
      <c r="P38" t="e">
        <f>AND(#REF!,"AAAAAHe9rw8=")</f>
        <v>#REF!</v>
      </c>
      <c r="Q38" t="e">
        <f>AND(#REF!,"AAAAAHe9rxA=")</f>
        <v>#REF!</v>
      </c>
      <c r="R38" t="e">
        <f>AND(#REF!,"AAAAAHe9rxE=")</f>
        <v>#REF!</v>
      </c>
      <c r="S38" t="e">
        <f>AND(#REF!,"AAAAAHe9rxI=")</f>
        <v>#REF!</v>
      </c>
      <c r="T38" t="e">
        <f>AND(#REF!,"AAAAAHe9rxM=")</f>
        <v>#REF!</v>
      </c>
      <c r="U38" t="e">
        <f>AND(#REF!,"AAAAAHe9rxQ=")</f>
        <v>#REF!</v>
      </c>
      <c r="V38" t="e">
        <f>AND(#REF!,"AAAAAHe9rxU=")</f>
        <v>#REF!</v>
      </c>
      <c r="W38" t="e">
        <f>AND(#REF!,"AAAAAHe9rxY=")</f>
        <v>#REF!</v>
      </c>
      <c r="X38" t="e">
        <f>AND(#REF!,"AAAAAHe9rxc=")</f>
        <v>#REF!</v>
      </c>
      <c r="Y38" t="e">
        <f>AND(#REF!,"AAAAAHe9rxg=")</f>
        <v>#REF!</v>
      </c>
      <c r="Z38" t="e">
        <f>AND(#REF!,"AAAAAHe9rxk=")</f>
        <v>#REF!</v>
      </c>
      <c r="AA38" t="e">
        <f>AND(#REF!,"AAAAAHe9rxo=")</f>
        <v>#REF!</v>
      </c>
      <c r="AB38" t="e">
        <f>AND(#REF!,"AAAAAHe9rxs=")</f>
        <v>#REF!</v>
      </c>
      <c r="AC38" t="e">
        <f>AND(#REF!,"AAAAAHe9rxw=")</f>
        <v>#REF!</v>
      </c>
      <c r="AD38" t="e">
        <f>AND(#REF!,"AAAAAHe9rx0=")</f>
        <v>#REF!</v>
      </c>
      <c r="AE38" t="e">
        <f>AND(#REF!,"AAAAAHe9rx4=")</f>
        <v>#REF!</v>
      </c>
      <c r="AF38" t="e">
        <f>AND(#REF!,"AAAAAHe9rx8=")</f>
        <v>#REF!</v>
      </c>
      <c r="AG38" t="e">
        <f>AND(#REF!,"AAAAAHe9ryA=")</f>
        <v>#REF!</v>
      </c>
      <c r="AH38" t="e">
        <f>IF(#REF!,"AAAAAHe9ryE=",0)</f>
        <v>#REF!</v>
      </c>
      <c r="AI38" t="e">
        <f>AND(#REF!,"AAAAAHe9ryI=")</f>
        <v>#REF!</v>
      </c>
      <c r="AJ38" t="e">
        <f>AND(#REF!,"AAAAAHe9ryM=")</f>
        <v>#REF!</v>
      </c>
      <c r="AK38" t="e">
        <f>AND(#REF!,"AAAAAHe9ryQ=")</f>
        <v>#REF!</v>
      </c>
      <c r="AL38" t="e">
        <f>AND(#REF!,"AAAAAHe9ryU=")</f>
        <v>#REF!</v>
      </c>
      <c r="AM38" t="e">
        <f>AND(#REF!,"AAAAAHe9ryY=")</f>
        <v>#REF!</v>
      </c>
      <c r="AN38" t="e">
        <f>AND(#REF!,"AAAAAHe9ryc=")</f>
        <v>#REF!</v>
      </c>
      <c r="AO38" t="e">
        <f>AND(#REF!,"AAAAAHe9ryg=")</f>
        <v>#REF!</v>
      </c>
      <c r="AP38" t="e">
        <f>AND(#REF!,"AAAAAHe9ryk=")</f>
        <v>#REF!</v>
      </c>
      <c r="AQ38" t="e">
        <f>AND(#REF!,"AAAAAHe9ryo=")</f>
        <v>#REF!</v>
      </c>
      <c r="AR38" t="e">
        <f>AND(#REF!,"AAAAAHe9rys=")</f>
        <v>#REF!</v>
      </c>
      <c r="AS38" t="e">
        <f>AND(#REF!,"AAAAAHe9ryw=")</f>
        <v>#REF!</v>
      </c>
      <c r="AT38" t="e">
        <f>AND(#REF!,"AAAAAHe9ry0=")</f>
        <v>#REF!</v>
      </c>
      <c r="AU38" t="e">
        <f>AND(#REF!,"AAAAAHe9ry4=")</f>
        <v>#REF!</v>
      </c>
      <c r="AV38" t="e">
        <f>AND(#REF!,"AAAAAHe9ry8=")</f>
        <v>#REF!</v>
      </c>
      <c r="AW38" t="e">
        <f>AND(#REF!,"AAAAAHe9rzA=")</f>
        <v>#REF!</v>
      </c>
      <c r="AX38" t="e">
        <f>AND(#REF!,"AAAAAHe9rzE=")</f>
        <v>#REF!</v>
      </c>
      <c r="AY38" t="e">
        <f>AND(#REF!,"AAAAAHe9rzI=")</f>
        <v>#REF!</v>
      </c>
      <c r="AZ38" t="e">
        <f>AND(#REF!,"AAAAAHe9rzM=")</f>
        <v>#REF!</v>
      </c>
      <c r="BA38" t="e">
        <f>AND(#REF!,"AAAAAHe9rzQ=")</f>
        <v>#REF!</v>
      </c>
      <c r="BB38" t="e">
        <f>AND(#REF!,"AAAAAHe9rzU=")</f>
        <v>#REF!</v>
      </c>
      <c r="BC38" t="e">
        <f>AND(#REF!,"AAAAAHe9rzY=")</f>
        <v>#REF!</v>
      </c>
      <c r="BD38" t="e">
        <f>IF(#REF!,"AAAAAHe9rzc=",0)</f>
        <v>#REF!</v>
      </c>
      <c r="BE38" t="e">
        <f>AND(#REF!,"AAAAAHe9rzg=")</f>
        <v>#REF!</v>
      </c>
      <c r="BF38" t="e">
        <f>AND(#REF!,"AAAAAHe9rzk=")</f>
        <v>#REF!</v>
      </c>
      <c r="BG38" t="e">
        <f>AND(#REF!,"AAAAAHe9rzo=")</f>
        <v>#REF!</v>
      </c>
      <c r="BH38" t="e">
        <f>AND(#REF!,"AAAAAHe9rzs=")</f>
        <v>#REF!</v>
      </c>
      <c r="BI38" t="e">
        <f>AND(#REF!,"AAAAAHe9rzw=")</f>
        <v>#REF!</v>
      </c>
      <c r="BJ38" t="e">
        <f>AND(#REF!,"AAAAAHe9rz0=")</f>
        <v>#REF!</v>
      </c>
      <c r="BK38" t="e">
        <f>AND(#REF!,"AAAAAHe9rz4=")</f>
        <v>#REF!</v>
      </c>
      <c r="BL38" t="e">
        <f>AND(#REF!,"AAAAAHe9rz8=")</f>
        <v>#REF!</v>
      </c>
      <c r="BM38" t="e">
        <f>AND(#REF!,"AAAAAHe9r0A=")</f>
        <v>#REF!</v>
      </c>
      <c r="BN38" t="e">
        <f>AND(#REF!,"AAAAAHe9r0E=")</f>
        <v>#REF!</v>
      </c>
      <c r="BO38" t="e">
        <f>AND(#REF!,"AAAAAHe9r0I=")</f>
        <v>#REF!</v>
      </c>
      <c r="BP38" t="e">
        <f>AND(#REF!,"AAAAAHe9r0M=")</f>
        <v>#REF!</v>
      </c>
      <c r="BQ38" t="e">
        <f>AND(#REF!,"AAAAAHe9r0Q=")</f>
        <v>#REF!</v>
      </c>
      <c r="BR38" t="e">
        <f>AND(#REF!,"AAAAAHe9r0U=")</f>
        <v>#REF!</v>
      </c>
      <c r="BS38" t="e">
        <f>AND(#REF!,"AAAAAHe9r0Y=")</f>
        <v>#REF!</v>
      </c>
      <c r="BT38" t="e">
        <f>AND(#REF!,"AAAAAHe9r0c=")</f>
        <v>#REF!</v>
      </c>
      <c r="BU38" t="e">
        <f>AND(#REF!,"AAAAAHe9r0g=")</f>
        <v>#REF!</v>
      </c>
      <c r="BV38" t="e">
        <f>AND(#REF!,"AAAAAHe9r0k=")</f>
        <v>#REF!</v>
      </c>
      <c r="BW38" t="e">
        <f>AND(#REF!,"AAAAAHe9r0o=")</f>
        <v>#REF!</v>
      </c>
      <c r="BX38" t="e">
        <f>AND(#REF!,"AAAAAHe9r0s=")</f>
        <v>#REF!</v>
      </c>
      <c r="BY38" t="e">
        <f>AND(#REF!,"AAAAAHe9r0w=")</f>
        <v>#REF!</v>
      </c>
      <c r="BZ38" t="e">
        <f>IF(#REF!,"AAAAAHe9r00=",0)</f>
        <v>#REF!</v>
      </c>
      <c r="CA38" t="e">
        <f>AND(#REF!,"AAAAAHe9r04=")</f>
        <v>#REF!</v>
      </c>
      <c r="CB38" t="e">
        <f>AND(#REF!,"AAAAAHe9r08=")</f>
        <v>#REF!</v>
      </c>
      <c r="CC38" t="e">
        <f>AND(#REF!,"AAAAAHe9r1A=")</f>
        <v>#REF!</v>
      </c>
      <c r="CD38" t="e">
        <f>AND(#REF!,"AAAAAHe9r1E=")</f>
        <v>#REF!</v>
      </c>
      <c r="CE38" t="e">
        <f>AND(#REF!,"AAAAAHe9r1I=")</f>
        <v>#REF!</v>
      </c>
      <c r="CF38" t="e">
        <f>AND(#REF!,"AAAAAHe9r1M=")</f>
        <v>#REF!</v>
      </c>
      <c r="CG38" t="e">
        <f>AND(#REF!,"AAAAAHe9r1Q=")</f>
        <v>#REF!</v>
      </c>
      <c r="CH38" t="e">
        <f>AND(#REF!,"AAAAAHe9r1U=")</f>
        <v>#REF!</v>
      </c>
      <c r="CI38" t="e">
        <f>AND(#REF!,"AAAAAHe9r1Y=")</f>
        <v>#REF!</v>
      </c>
      <c r="CJ38" t="e">
        <f>AND(#REF!,"AAAAAHe9r1c=")</f>
        <v>#REF!</v>
      </c>
      <c r="CK38" t="e">
        <f>AND(#REF!,"AAAAAHe9r1g=")</f>
        <v>#REF!</v>
      </c>
      <c r="CL38" t="e">
        <f>AND(#REF!,"AAAAAHe9r1k=")</f>
        <v>#REF!</v>
      </c>
      <c r="CM38" t="e">
        <f>AND(#REF!,"AAAAAHe9r1o=")</f>
        <v>#REF!</v>
      </c>
      <c r="CN38" t="e">
        <f>AND(#REF!,"AAAAAHe9r1s=")</f>
        <v>#REF!</v>
      </c>
      <c r="CO38" t="e">
        <f>AND(#REF!,"AAAAAHe9r1w=")</f>
        <v>#REF!</v>
      </c>
      <c r="CP38" t="e">
        <f>AND(#REF!,"AAAAAHe9r10=")</f>
        <v>#REF!</v>
      </c>
      <c r="CQ38" t="e">
        <f>AND(#REF!,"AAAAAHe9r14=")</f>
        <v>#REF!</v>
      </c>
      <c r="CR38" t="e">
        <f>AND(#REF!,"AAAAAHe9r18=")</f>
        <v>#REF!</v>
      </c>
      <c r="CS38" t="e">
        <f>AND(#REF!,"AAAAAHe9r2A=")</f>
        <v>#REF!</v>
      </c>
      <c r="CT38" t="e">
        <f>AND(#REF!,"AAAAAHe9r2E=")</f>
        <v>#REF!</v>
      </c>
      <c r="CU38" t="e">
        <f>AND(#REF!,"AAAAAHe9r2I=")</f>
        <v>#REF!</v>
      </c>
      <c r="CV38" t="e">
        <f>IF(#REF!,"AAAAAHe9r2M=",0)</f>
        <v>#REF!</v>
      </c>
      <c r="CW38" t="e">
        <f>AND(#REF!,"AAAAAHe9r2Q=")</f>
        <v>#REF!</v>
      </c>
      <c r="CX38" t="e">
        <f>AND(#REF!,"AAAAAHe9r2U=")</f>
        <v>#REF!</v>
      </c>
      <c r="CY38" t="e">
        <f>AND(#REF!,"AAAAAHe9r2Y=")</f>
        <v>#REF!</v>
      </c>
      <c r="CZ38" t="e">
        <f>AND(#REF!,"AAAAAHe9r2c=")</f>
        <v>#REF!</v>
      </c>
      <c r="DA38" t="e">
        <f>AND(#REF!,"AAAAAHe9r2g=")</f>
        <v>#REF!</v>
      </c>
      <c r="DB38" t="e">
        <f>AND(#REF!,"AAAAAHe9r2k=")</f>
        <v>#REF!</v>
      </c>
      <c r="DC38" t="e">
        <f>AND(#REF!,"AAAAAHe9r2o=")</f>
        <v>#REF!</v>
      </c>
      <c r="DD38" t="e">
        <f>AND(#REF!,"AAAAAHe9r2s=")</f>
        <v>#REF!</v>
      </c>
      <c r="DE38" t="e">
        <f>AND(#REF!,"AAAAAHe9r2w=")</f>
        <v>#REF!</v>
      </c>
      <c r="DF38" t="e">
        <f>AND(#REF!,"AAAAAHe9r20=")</f>
        <v>#REF!</v>
      </c>
      <c r="DG38" t="e">
        <f>AND(#REF!,"AAAAAHe9r24=")</f>
        <v>#REF!</v>
      </c>
      <c r="DH38" t="e">
        <f>AND(#REF!,"AAAAAHe9r28=")</f>
        <v>#REF!</v>
      </c>
      <c r="DI38" t="e">
        <f>AND(#REF!,"AAAAAHe9r3A=")</f>
        <v>#REF!</v>
      </c>
      <c r="DJ38" t="e">
        <f>AND(#REF!,"AAAAAHe9r3E=")</f>
        <v>#REF!</v>
      </c>
      <c r="DK38" t="e">
        <f>AND(#REF!,"AAAAAHe9r3I=")</f>
        <v>#REF!</v>
      </c>
      <c r="DL38" t="e">
        <f>AND(#REF!,"AAAAAHe9r3M=")</f>
        <v>#REF!</v>
      </c>
      <c r="DM38" t="e">
        <f>AND(#REF!,"AAAAAHe9r3Q=")</f>
        <v>#REF!</v>
      </c>
      <c r="DN38" t="e">
        <f>AND(#REF!,"AAAAAHe9r3U=")</f>
        <v>#REF!</v>
      </c>
      <c r="DO38" t="e">
        <f>AND(#REF!,"AAAAAHe9r3Y=")</f>
        <v>#REF!</v>
      </c>
      <c r="DP38" t="e">
        <f>AND(#REF!,"AAAAAHe9r3c=")</f>
        <v>#REF!</v>
      </c>
      <c r="DQ38" t="e">
        <f>AND(#REF!,"AAAAAHe9r3g=")</f>
        <v>#REF!</v>
      </c>
      <c r="DR38" t="e">
        <f>IF(#REF!,"AAAAAHe9r3k=",0)</f>
        <v>#REF!</v>
      </c>
      <c r="DS38" t="e">
        <f>AND(#REF!,"AAAAAHe9r3o=")</f>
        <v>#REF!</v>
      </c>
      <c r="DT38" t="e">
        <f>AND(#REF!,"AAAAAHe9r3s=")</f>
        <v>#REF!</v>
      </c>
      <c r="DU38" t="e">
        <f>AND(#REF!,"AAAAAHe9r3w=")</f>
        <v>#REF!</v>
      </c>
      <c r="DV38" t="e">
        <f>AND(#REF!,"AAAAAHe9r30=")</f>
        <v>#REF!</v>
      </c>
      <c r="DW38" t="e">
        <f>AND(#REF!,"AAAAAHe9r34=")</f>
        <v>#REF!</v>
      </c>
      <c r="DX38" t="e">
        <f>AND(#REF!,"AAAAAHe9r38=")</f>
        <v>#REF!</v>
      </c>
      <c r="DY38" t="e">
        <f>AND(#REF!,"AAAAAHe9r4A=")</f>
        <v>#REF!</v>
      </c>
      <c r="DZ38" t="e">
        <f>AND(#REF!,"AAAAAHe9r4E=")</f>
        <v>#REF!</v>
      </c>
      <c r="EA38" t="e">
        <f>AND(#REF!,"AAAAAHe9r4I=")</f>
        <v>#REF!</v>
      </c>
      <c r="EB38" t="e">
        <f>AND(#REF!,"AAAAAHe9r4M=")</f>
        <v>#REF!</v>
      </c>
      <c r="EC38" t="e">
        <f>AND(#REF!,"AAAAAHe9r4Q=")</f>
        <v>#REF!</v>
      </c>
      <c r="ED38" t="e">
        <f>AND(#REF!,"AAAAAHe9r4U=")</f>
        <v>#REF!</v>
      </c>
      <c r="EE38" t="e">
        <f>AND(#REF!,"AAAAAHe9r4Y=")</f>
        <v>#REF!</v>
      </c>
      <c r="EF38" t="e">
        <f>AND(#REF!,"AAAAAHe9r4c=")</f>
        <v>#REF!</v>
      </c>
      <c r="EG38" t="e">
        <f>AND(#REF!,"AAAAAHe9r4g=")</f>
        <v>#REF!</v>
      </c>
      <c r="EH38" t="e">
        <f>AND(#REF!,"AAAAAHe9r4k=")</f>
        <v>#REF!</v>
      </c>
      <c r="EI38" t="e">
        <f>AND(#REF!,"AAAAAHe9r4o=")</f>
        <v>#REF!</v>
      </c>
      <c r="EJ38" t="e">
        <f>AND(#REF!,"AAAAAHe9r4s=")</f>
        <v>#REF!</v>
      </c>
      <c r="EK38" t="e">
        <f>AND(#REF!,"AAAAAHe9r4w=")</f>
        <v>#REF!</v>
      </c>
      <c r="EL38" t="e">
        <f>AND(#REF!,"AAAAAHe9r40=")</f>
        <v>#REF!</v>
      </c>
      <c r="EM38" t="e">
        <f>AND(#REF!,"AAAAAHe9r44=")</f>
        <v>#REF!</v>
      </c>
      <c r="EN38" t="e">
        <f>IF(#REF!,"AAAAAHe9r48=",0)</f>
        <v>#REF!</v>
      </c>
      <c r="EO38" t="e">
        <f>AND(#REF!,"AAAAAHe9r5A=")</f>
        <v>#REF!</v>
      </c>
      <c r="EP38" t="e">
        <f>AND(#REF!,"AAAAAHe9r5E=")</f>
        <v>#REF!</v>
      </c>
      <c r="EQ38" t="e">
        <f>AND(#REF!,"AAAAAHe9r5I=")</f>
        <v>#REF!</v>
      </c>
      <c r="ER38" t="e">
        <f>AND(#REF!,"AAAAAHe9r5M=")</f>
        <v>#REF!</v>
      </c>
      <c r="ES38" t="e">
        <f>AND(#REF!,"AAAAAHe9r5Q=")</f>
        <v>#REF!</v>
      </c>
      <c r="ET38" t="e">
        <f>AND(#REF!,"AAAAAHe9r5U=")</f>
        <v>#REF!</v>
      </c>
      <c r="EU38" t="e">
        <f>AND(#REF!,"AAAAAHe9r5Y=")</f>
        <v>#REF!</v>
      </c>
      <c r="EV38" t="e">
        <f>AND(#REF!,"AAAAAHe9r5c=")</f>
        <v>#REF!</v>
      </c>
      <c r="EW38" t="e">
        <f>AND(#REF!,"AAAAAHe9r5g=")</f>
        <v>#REF!</v>
      </c>
      <c r="EX38" t="e">
        <f>AND(#REF!,"AAAAAHe9r5k=")</f>
        <v>#REF!</v>
      </c>
      <c r="EY38" t="e">
        <f>AND(#REF!,"AAAAAHe9r5o=")</f>
        <v>#REF!</v>
      </c>
      <c r="EZ38" t="e">
        <f>AND(#REF!,"AAAAAHe9r5s=")</f>
        <v>#REF!</v>
      </c>
      <c r="FA38" t="e">
        <f>AND(#REF!,"AAAAAHe9r5w=")</f>
        <v>#REF!</v>
      </c>
      <c r="FB38" t="e">
        <f>AND(#REF!,"AAAAAHe9r50=")</f>
        <v>#REF!</v>
      </c>
      <c r="FC38" t="e">
        <f>AND(#REF!,"AAAAAHe9r54=")</f>
        <v>#REF!</v>
      </c>
      <c r="FD38" t="e">
        <f>AND(#REF!,"AAAAAHe9r58=")</f>
        <v>#REF!</v>
      </c>
      <c r="FE38" t="e">
        <f>AND(#REF!,"AAAAAHe9r6A=")</f>
        <v>#REF!</v>
      </c>
      <c r="FF38" t="e">
        <f>AND(#REF!,"AAAAAHe9r6E=")</f>
        <v>#REF!</v>
      </c>
      <c r="FG38" t="e">
        <f>AND(#REF!,"AAAAAHe9r6I=")</f>
        <v>#REF!</v>
      </c>
      <c r="FH38" t="e">
        <f>AND(#REF!,"AAAAAHe9r6M=")</f>
        <v>#REF!</v>
      </c>
      <c r="FI38" t="e">
        <f>AND(#REF!,"AAAAAHe9r6Q=")</f>
        <v>#REF!</v>
      </c>
      <c r="FJ38" t="e">
        <f>IF(#REF!,"AAAAAHe9r6U=",0)</f>
        <v>#REF!</v>
      </c>
      <c r="FK38" t="e">
        <f>AND(#REF!,"AAAAAHe9r6Y=")</f>
        <v>#REF!</v>
      </c>
      <c r="FL38" t="e">
        <f>AND(#REF!,"AAAAAHe9r6c=")</f>
        <v>#REF!</v>
      </c>
      <c r="FM38" t="e">
        <f>AND(#REF!,"AAAAAHe9r6g=")</f>
        <v>#REF!</v>
      </c>
      <c r="FN38" t="e">
        <f>AND(#REF!,"AAAAAHe9r6k=")</f>
        <v>#REF!</v>
      </c>
      <c r="FO38" t="e">
        <f>AND(#REF!,"AAAAAHe9r6o=")</f>
        <v>#REF!</v>
      </c>
      <c r="FP38" t="e">
        <f>AND(#REF!,"AAAAAHe9r6s=")</f>
        <v>#REF!</v>
      </c>
      <c r="FQ38" t="e">
        <f>AND(#REF!,"AAAAAHe9r6w=")</f>
        <v>#REF!</v>
      </c>
      <c r="FR38" t="e">
        <f>AND(#REF!,"AAAAAHe9r60=")</f>
        <v>#REF!</v>
      </c>
      <c r="FS38" t="e">
        <f>AND(#REF!,"AAAAAHe9r64=")</f>
        <v>#REF!</v>
      </c>
      <c r="FT38" t="e">
        <f>AND(#REF!,"AAAAAHe9r68=")</f>
        <v>#REF!</v>
      </c>
      <c r="FU38" t="e">
        <f>AND(#REF!,"AAAAAHe9r7A=")</f>
        <v>#REF!</v>
      </c>
      <c r="FV38" t="e">
        <f>AND(#REF!,"AAAAAHe9r7E=")</f>
        <v>#REF!</v>
      </c>
      <c r="FW38" t="e">
        <f>AND(#REF!,"AAAAAHe9r7I=")</f>
        <v>#REF!</v>
      </c>
      <c r="FX38" t="e">
        <f>AND(#REF!,"AAAAAHe9r7M=")</f>
        <v>#REF!</v>
      </c>
      <c r="FY38" t="e">
        <f>AND(#REF!,"AAAAAHe9r7Q=")</f>
        <v>#REF!</v>
      </c>
      <c r="FZ38" t="e">
        <f>AND(#REF!,"AAAAAHe9r7U=")</f>
        <v>#REF!</v>
      </c>
      <c r="GA38" t="e">
        <f>AND(#REF!,"AAAAAHe9r7Y=")</f>
        <v>#REF!</v>
      </c>
      <c r="GB38" t="e">
        <f>AND(#REF!,"AAAAAHe9r7c=")</f>
        <v>#REF!</v>
      </c>
      <c r="GC38" t="e">
        <f>AND(#REF!,"AAAAAHe9r7g=")</f>
        <v>#REF!</v>
      </c>
      <c r="GD38" t="e">
        <f>AND(#REF!,"AAAAAHe9r7k=")</f>
        <v>#REF!</v>
      </c>
      <c r="GE38" t="e">
        <f>AND(#REF!,"AAAAAHe9r7o=")</f>
        <v>#REF!</v>
      </c>
      <c r="GF38" t="e">
        <f>IF(#REF!,"AAAAAHe9r7s=",0)</f>
        <v>#REF!</v>
      </c>
      <c r="GG38" t="e">
        <f>AND(#REF!,"AAAAAHe9r7w=")</f>
        <v>#REF!</v>
      </c>
      <c r="GH38" t="e">
        <f>AND(#REF!,"AAAAAHe9r70=")</f>
        <v>#REF!</v>
      </c>
      <c r="GI38" t="e">
        <f>AND(#REF!,"AAAAAHe9r74=")</f>
        <v>#REF!</v>
      </c>
      <c r="GJ38" t="e">
        <f>AND(#REF!,"AAAAAHe9r78=")</f>
        <v>#REF!</v>
      </c>
      <c r="GK38" t="e">
        <f>AND(#REF!,"AAAAAHe9r8A=")</f>
        <v>#REF!</v>
      </c>
      <c r="GL38" t="e">
        <f>AND(#REF!,"AAAAAHe9r8E=")</f>
        <v>#REF!</v>
      </c>
      <c r="GM38" t="e">
        <f>AND(#REF!,"AAAAAHe9r8I=")</f>
        <v>#REF!</v>
      </c>
      <c r="GN38" t="e">
        <f>AND(#REF!,"AAAAAHe9r8M=")</f>
        <v>#REF!</v>
      </c>
      <c r="GO38" t="e">
        <f>AND(#REF!,"AAAAAHe9r8Q=")</f>
        <v>#REF!</v>
      </c>
      <c r="GP38" t="e">
        <f>AND(#REF!,"AAAAAHe9r8U=")</f>
        <v>#REF!</v>
      </c>
      <c r="GQ38" t="e">
        <f>AND(#REF!,"AAAAAHe9r8Y=")</f>
        <v>#REF!</v>
      </c>
      <c r="GR38" t="e">
        <f>AND(#REF!,"AAAAAHe9r8c=")</f>
        <v>#REF!</v>
      </c>
      <c r="GS38" t="e">
        <f>AND(#REF!,"AAAAAHe9r8g=")</f>
        <v>#REF!</v>
      </c>
      <c r="GT38" t="e">
        <f>AND(#REF!,"AAAAAHe9r8k=")</f>
        <v>#REF!</v>
      </c>
      <c r="GU38" t="e">
        <f>AND(#REF!,"AAAAAHe9r8o=")</f>
        <v>#REF!</v>
      </c>
      <c r="GV38" t="e">
        <f>AND(#REF!,"AAAAAHe9r8s=")</f>
        <v>#REF!</v>
      </c>
      <c r="GW38" t="e">
        <f>AND(#REF!,"AAAAAHe9r8w=")</f>
        <v>#REF!</v>
      </c>
      <c r="GX38" t="e">
        <f>AND(#REF!,"AAAAAHe9r80=")</f>
        <v>#REF!</v>
      </c>
      <c r="GY38" t="e">
        <f>AND(#REF!,"AAAAAHe9r84=")</f>
        <v>#REF!</v>
      </c>
      <c r="GZ38" t="e">
        <f>AND(#REF!,"AAAAAHe9r88=")</f>
        <v>#REF!</v>
      </c>
      <c r="HA38" t="e">
        <f>AND(#REF!,"AAAAAHe9r9A=")</f>
        <v>#REF!</v>
      </c>
      <c r="HB38" t="e">
        <f>IF(#REF!,"AAAAAHe9r9E=",0)</f>
        <v>#REF!</v>
      </c>
      <c r="HC38" t="e">
        <f>AND(#REF!,"AAAAAHe9r9I=")</f>
        <v>#REF!</v>
      </c>
      <c r="HD38" t="e">
        <f>AND(#REF!,"AAAAAHe9r9M=")</f>
        <v>#REF!</v>
      </c>
      <c r="HE38" t="e">
        <f>AND(#REF!,"AAAAAHe9r9Q=")</f>
        <v>#REF!</v>
      </c>
      <c r="HF38" t="e">
        <f>AND(#REF!,"AAAAAHe9r9U=")</f>
        <v>#REF!</v>
      </c>
      <c r="HG38" t="e">
        <f>AND(#REF!,"AAAAAHe9r9Y=")</f>
        <v>#REF!</v>
      </c>
      <c r="HH38" t="e">
        <f>AND(#REF!,"AAAAAHe9r9c=")</f>
        <v>#REF!</v>
      </c>
      <c r="HI38" t="e">
        <f>AND(#REF!,"AAAAAHe9r9g=")</f>
        <v>#REF!</v>
      </c>
      <c r="HJ38" t="e">
        <f>AND(#REF!,"AAAAAHe9r9k=")</f>
        <v>#REF!</v>
      </c>
      <c r="HK38" t="e">
        <f>AND(#REF!,"AAAAAHe9r9o=")</f>
        <v>#REF!</v>
      </c>
      <c r="HL38" t="e">
        <f>AND(#REF!,"AAAAAHe9r9s=")</f>
        <v>#REF!</v>
      </c>
      <c r="HM38" t="e">
        <f>AND(#REF!,"AAAAAHe9r9w=")</f>
        <v>#REF!</v>
      </c>
      <c r="HN38" t="e">
        <f>AND(#REF!,"AAAAAHe9r90=")</f>
        <v>#REF!</v>
      </c>
      <c r="HO38" t="e">
        <f>AND(#REF!,"AAAAAHe9r94=")</f>
        <v>#REF!</v>
      </c>
      <c r="HP38" t="e">
        <f>AND(#REF!,"AAAAAHe9r98=")</f>
        <v>#REF!</v>
      </c>
      <c r="HQ38" t="e">
        <f>AND(#REF!,"AAAAAHe9r+A=")</f>
        <v>#REF!</v>
      </c>
      <c r="HR38" t="e">
        <f>AND(#REF!,"AAAAAHe9r+E=")</f>
        <v>#REF!</v>
      </c>
      <c r="HS38" t="e">
        <f>AND(#REF!,"AAAAAHe9r+I=")</f>
        <v>#REF!</v>
      </c>
      <c r="HT38" t="e">
        <f>AND(#REF!,"AAAAAHe9r+M=")</f>
        <v>#REF!</v>
      </c>
      <c r="HU38" t="e">
        <f>AND(#REF!,"AAAAAHe9r+Q=")</f>
        <v>#REF!</v>
      </c>
      <c r="HV38" t="e">
        <f>AND(#REF!,"AAAAAHe9r+U=")</f>
        <v>#REF!</v>
      </c>
      <c r="HW38" t="e">
        <f>AND(#REF!,"AAAAAHe9r+Y=")</f>
        <v>#REF!</v>
      </c>
      <c r="HX38" t="e">
        <f>IF(#REF!,"AAAAAHe9r+c=",0)</f>
        <v>#REF!</v>
      </c>
      <c r="HY38" t="e">
        <f>AND(#REF!,"AAAAAHe9r+g=")</f>
        <v>#REF!</v>
      </c>
      <c r="HZ38" t="e">
        <f>AND(#REF!,"AAAAAHe9r+k=")</f>
        <v>#REF!</v>
      </c>
      <c r="IA38" t="e">
        <f>AND(#REF!,"AAAAAHe9r+o=")</f>
        <v>#REF!</v>
      </c>
      <c r="IB38" t="e">
        <f>AND(#REF!,"AAAAAHe9r+s=")</f>
        <v>#REF!</v>
      </c>
      <c r="IC38" t="e">
        <f>AND(#REF!,"AAAAAHe9r+w=")</f>
        <v>#REF!</v>
      </c>
      <c r="ID38" t="e">
        <f>AND(#REF!,"AAAAAHe9r+0=")</f>
        <v>#REF!</v>
      </c>
      <c r="IE38" t="e">
        <f>AND(#REF!,"AAAAAHe9r+4=")</f>
        <v>#REF!</v>
      </c>
      <c r="IF38" t="e">
        <f>AND(#REF!,"AAAAAHe9r+8=")</f>
        <v>#REF!</v>
      </c>
      <c r="IG38" t="e">
        <f>AND(#REF!,"AAAAAHe9r/A=")</f>
        <v>#REF!</v>
      </c>
      <c r="IH38" t="e">
        <f>AND(#REF!,"AAAAAHe9r/E=")</f>
        <v>#REF!</v>
      </c>
      <c r="II38" t="e">
        <f>AND(#REF!,"AAAAAHe9r/I=")</f>
        <v>#REF!</v>
      </c>
      <c r="IJ38" t="e">
        <f>AND(#REF!,"AAAAAHe9r/M=")</f>
        <v>#REF!</v>
      </c>
      <c r="IK38" t="e">
        <f>AND(#REF!,"AAAAAHe9r/Q=")</f>
        <v>#REF!</v>
      </c>
      <c r="IL38" t="e">
        <f>AND(#REF!,"AAAAAHe9r/U=")</f>
        <v>#REF!</v>
      </c>
      <c r="IM38" t="e">
        <f>AND(#REF!,"AAAAAHe9r/Y=")</f>
        <v>#REF!</v>
      </c>
      <c r="IN38" t="e">
        <f>AND(#REF!,"AAAAAHe9r/c=")</f>
        <v>#REF!</v>
      </c>
      <c r="IO38" t="e">
        <f>AND(#REF!,"AAAAAHe9r/g=")</f>
        <v>#REF!</v>
      </c>
      <c r="IP38" t="e">
        <f>AND(#REF!,"AAAAAHe9r/k=")</f>
        <v>#REF!</v>
      </c>
      <c r="IQ38" t="e">
        <f>AND(#REF!,"AAAAAHe9r/o=")</f>
        <v>#REF!</v>
      </c>
      <c r="IR38" t="e">
        <f>AND(#REF!,"AAAAAHe9r/s=")</f>
        <v>#REF!</v>
      </c>
      <c r="IS38" t="e">
        <f>AND(#REF!,"AAAAAHe9r/w=")</f>
        <v>#REF!</v>
      </c>
      <c r="IT38" t="e">
        <f>IF(#REF!,"AAAAAHe9r/0=",0)</f>
        <v>#REF!</v>
      </c>
      <c r="IU38" t="e">
        <f>AND(#REF!,"AAAAAHe9r/4=")</f>
        <v>#REF!</v>
      </c>
      <c r="IV38" t="e">
        <f>AND(#REF!,"AAAAAHe9r/8=")</f>
        <v>#REF!</v>
      </c>
    </row>
    <row r="39" spans="1:256">
      <c r="A39" t="e">
        <f>AND(#REF!,"AAAAAD3//wA=")</f>
        <v>#REF!</v>
      </c>
      <c r="B39" t="e">
        <f>AND(#REF!,"AAAAAD3//wE=")</f>
        <v>#REF!</v>
      </c>
      <c r="C39" t="e">
        <f>AND(#REF!,"AAAAAD3//wI=")</f>
        <v>#REF!</v>
      </c>
      <c r="D39" t="e">
        <f>AND(#REF!,"AAAAAD3//wM=")</f>
        <v>#REF!</v>
      </c>
      <c r="E39" t="e">
        <f>AND(#REF!,"AAAAAD3//wQ=")</f>
        <v>#REF!</v>
      </c>
      <c r="F39" t="e">
        <f>AND(#REF!,"AAAAAD3//wU=")</f>
        <v>#REF!</v>
      </c>
      <c r="G39" t="e">
        <f>AND(#REF!,"AAAAAD3//wY=")</f>
        <v>#REF!</v>
      </c>
      <c r="H39" t="e">
        <f>AND(#REF!,"AAAAAD3//wc=")</f>
        <v>#REF!</v>
      </c>
      <c r="I39" t="e">
        <f>AND(#REF!,"AAAAAD3//wg=")</f>
        <v>#REF!</v>
      </c>
      <c r="J39" t="e">
        <f>AND(#REF!,"AAAAAD3//wk=")</f>
        <v>#REF!</v>
      </c>
      <c r="K39" t="e">
        <f>AND(#REF!,"AAAAAD3//wo=")</f>
        <v>#REF!</v>
      </c>
      <c r="L39" t="e">
        <f>AND(#REF!,"AAAAAD3//ws=")</f>
        <v>#REF!</v>
      </c>
      <c r="M39" t="e">
        <f>AND(#REF!,"AAAAAD3//ww=")</f>
        <v>#REF!</v>
      </c>
      <c r="N39" t="e">
        <f>AND(#REF!,"AAAAAD3//w0=")</f>
        <v>#REF!</v>
      </c>
      <c r="O39" t="e">
        <f>AND(#REF!,"AAAAAD3//w4=")</f>
        <v>#REF!</v>
      </c>
      <c r="P39" t="e">
        <f>AND(#REF!,"AAAAAD3//w8=")</f>
        <v>#REF!</v>
      </c>
      <c r="Q39" t="e">
        <f>AND(#REF!,"AAAAAD3//xA=")</f>
        <v>#REF!</v>
      </c>
      <c r="R39" t="e">
        <f>AND(#REF!,"AAAAAD3//xE=")</f>
        <v>#REF!</v>
      </c>
      <c r="S39" t="e">
        <f>AND(#REF!,"AAAAAD3//xI=")</f>
        <v>#REF!</v>
      </c>
      <c r="T39" t="e">
        <f>IF(#REF!,"AAAAAD3//xM=",0)</f>
        <v>#REF!</v>
      </c>
      <c r="U39" t="e">
        <f>AND(#REF!,"AAAAAD3//xQ=")</f>
        <v>#REF!</v>
      </c>
      <c r="V39" t="e">
        <f>AND(#REF!,"AAAAAD3//xU=")</f>
        <v>#REF!</v>
      </c>
      <c r="W39" t="e">
        <f>AND(#REF!,"AAAAAD3//xY=")</f>
        <v>#REF!</v>
      </c>
      <c r="X39" t="e">
        <f>AND(#REF!,"AAAAAD3//xc=")</f>
        <v>#REF!</v>
      </c>
      <c r="Y39" t="e">
        <f>AND(#REF!,"AAAAAD3//xg=")</f>
        <v>#REF!</v>
      </c>
      <c r="Z39" t="e">
        <f>AND(#REF!,"AAAAAD3//xk=")</f>
        <v>#REF!</v>
      </c>
      <c r="AA39" t="e">
        <f>AND(#REF!,"AAAAAD3//xo=")</f>
        <v>#REF!</v>
      </c>
      <c r="AB39" t="e">
        <f>AND(#REF!,"AAAAAD3//xs=")</f>
        <v>#REF!</v>
      </c>
      <c r="AC39" t="e">
        <f>AND(#REF!,"AAAAAD3//xw=")</f>
        <v>#REF!</v>
      </c>
      <c r="AD39" t="e">
        <f>AND(#REF!,"AAAAAD3//x0=")</f>
        <v>#REF!</v>
      </c>
      <c r="AE39" t="e">
        <f>AND(#REF!,"AAAAAD3//x4=")</f>
        <v>#REF!</v>
      </c>
      <c r="AF39" t="e">
        <f>AND(#REF!,"AAAAAD3//x8=")</f>
        <v>#REF!</v>
      </c>
      <c r="AG39" t="e">
        <f>AND(#REF!,"AAAAAD3//yA=")</f>
        <v>#REF!</v>
      </c>
      <c r="AH39" t="e">
        <f>AND(#REF!,"AAAAAD3//yE=")</f>
        <v>#REF!</v>
      </c>
      <c r="AI39" t="e">
        <f>AND(#REF!,"AAAAAD3//yI=")</f>
        <v>#REF!</v>
      </c>
      <c r="AJ39" t="e">
        <f>AND(#REF!,"AAAAAD3//yM=")</f>
        <v>#REF!</v>
      </c>
      <c r="AK39" t="e">
        <f>AND(#REF!,"AAAAAD3//yQ=")</f>
        <v>#REF!</v>
      </c>
      <c r="AL39" t="e">
        <f>AND(#REF!,"AAAAAD3//yU=")</f>
        <v>#REF!</v>
      </c>
      <c r="AM39" t="e">
        <f>AND(#REF!,"AAAAAD3//yY=")</f>
        <v>#REF!</v>
      </c>
      <c r="AN39" t="e">
        <f>AND(#REF!,"AAAAAD3//yc=")</f>
        <v>#REF!</v>
      </c>
      <c r="AO39" t="e">
        <f>AND(#REF!,"AAAAAD3//yg=")</f>
        <v>#REF!</v>
      </c>
      <c r="AP39" t="e">
        <f>IF(#REF!,"AAAAAD3//yk=",0)</f>
        <v>#REF!</v>
      </c>
      <c r="AQ39" t="e">
        <f>AND(#REF!,"AAAAAD3//yo=")</f>
        <v>#REF!</v>
      </c>
      <c r="AR39" t="e">
        <f>AND(#REF!,"AAAAAD3//ys=")</f>
        <v>#REF!</v>
      </c>
      <c r="AS39" t="e">
        <f>AND(#REF!,"AAAAAD3//yw=")</f>
        <v>#REF!</v>
      </c>
      <c r="AT39" t="e">
        <f>AND(#REF!,"AAAAAD3//y0=")</f>
        <v>#REF!</v>
      </c>
      <c r="AU39" t="e">
        <f>AND(#REF!,"AAAAAD3//y4=")</f>
        <v>#REF!</v>
      </c>
      <c r="AV39" t="e">
        <f>AND(#REF!,"AAAAAD3//y8=")</f>
        <v>#REF!</v>
      </c>
      <c r="AW39" t="e">
        <f>AND(#REF!,"AAAAAD3//zA=")</f>
        <v>#REF!</v>
      </c>
      <c r="AX39" t="e">
        <f>AND(#REF!,"AAAAAD3//zE=")</f>
        <v>#REF!</v>
      </c>
      <c r="AY39" t="e">
        <f>AND(#REF!,"AAAAAD3//zI=")</f>
        <v>#REF!</v>
      </c>
      <c r="AZ39" t="e">
        <f>AND(#REF!,"AAAAAD3//zM=")</f>
        <v>#REF!</v>
      </c>
      <c r="BA39" t="e">
        <f>AND(#REF!,"AAAAAD3//zQ=")</f>
        <v>#REF!</v>
      </c>
      <c r="BB39" t="e">
        <f>AND(#REF!,"AAAAAD3//zU=")</f>
        <v>#REF!</v>
      </c>
      <c r="BC39" t="e">
        <f>AND(#REF!,"AAAAAD3//zY=")</f>
        <v>#REF!</v>
      </c>
      <c r="BD39" t="e">
        <f>AND(#REF!,"AAAAAD3//zc=")</f>
        <v>#REF!</v>
      </c>
      <c r="BE39" t="e">
        <f>AND(#REF!,"AAAAAD3//zg=")</f>
        <v>#REF!</v>
      </c>
      <c r="BF39" t="e">
        <f>AND(#REF!,"AAAAAD3//zk=")</f>
        <v>#REF!</v>
      </c>
      <c r="BG39" t="e">
        <f>AND(#REF!,"AAAAAD3//zo=")</f>
        <v>#REF!</v>
      </c>
      <c r="BH39" t="e">
        <f>AND(#REF!,"AAAAAD3//zs=")</f>
        <v>#REF!</v>
      </c>
      <c r="BI39" t="e">
        <f>AND(#REF!,"AAAAAD3//zw=")</f>
        <v>#REF!</v>
      </c>
      <c r="BJ39" t="e">
        <f>AND(#REF!,"AAAAAD3//z0=")</f>
        <v>#REF!</v>
      </c>
      <c r="BK39" t="e">
        <f>AND(#REF!,"AAAAAD3//z4=")</f>
        <v>#REF!</v>
      </c>
      <c r="BL39" t="e">
        <f>IF(#REF!,"AAAAAD3//z8=",0)</f>
        <v>#REF!</v>
      </c>
      <c r="BM39" t="e">
        <f>AND(#REF!,"AAAAAD3//0A=")</f>
        <v>#REF!</v>
      </c>
      <c r="BN39" t="e">
        <f>AND(#REF!,"AAAAAD3//0E=")</f>
        <v>#REF!</v>
      </c>
      <c r="BO39" t="e">
        <f>AND(#REF!,"AAAAAD3//0I=")</f>
        <v>#REF!</v>
      </c>
      <c r="BP39" t="e">
        <f>AND(#REF!,"AAAAAD3//0M=")</f>
        <v>#REF!</v>
      </c>
      <c r="BQ39" t="e">
        <f>AND(#REF!,"AAAAAD3//0Q=")</f>
        <v>#REF!</v>
      </c>
      <c r="BR39" t="e">
        <f>AND(#REF!,"AAAAAD3//0U=")</f>
        <v>#REF!</v>
      </c>
      <c r="BS39" t="e">
        <f>AND(#REF!,"AAAAAD3//0Y=")</f>
        <v>#REF!</v>
      </c>
      <c r="BT39" t="e">
        <f>AND(#REF!,"AAAAAD3//0c=")</f>
        <v>#REF!</v>
      </c>
      <c r="BU39" t="e">
        <f>AND(#REF!,"AAAAAD3//0g=")</f>
        <v>#REF!</v>
      </c>
      <c r="BV39" t="e">
        <f>AND(#REF!,"AAAAAD3//0k=")</f>
        <v>#REF!</v>
      </c>
      <c r="BW39" t="e">
        <f>AND(#REF!,"AAAAAD3//0o=")</f>
        <v>#REF!</v>
      </c>
      <c r="BX39" t="e">
        <f>AND(#REF!,"AAAAAD3//0s=")</f>
        <v>#REF!</v>
      </c>
      <c r="BY39" t="e">
        <f>AND(#REF!,"AAAAAD3//0w=")</f>
        <v>#REF!</v>
      </c>
      <c r="BZ39" t="e">
        <f>AND(#REF!,"AAAAAD3//00=")</f>
        <v>#REF!</v>
      </c>
      <c r="CA39" t="e">
        <f>AND(#REF!,"AAAAAD3//04=")</f>
        <v>#REF!</v>
      </c>
      <c r="CB39" t="e">
        <f>AND(#REF!,"AAAAAD3//08=")</f>
        <v>#REF!</v>
      </c>
      <c r="CC39" t="e">
        <f>AND(#REF!,"AAAAAD3//1A=")</f>
        <v>#REF!</v>
      </c>
      <c r="CD39" t="e">
        <f>AND(#REF!,"AAAAAD3//1E=")</f>
        <v>#REF!</v>
      </c>
      <c r="CE39" t="e">
        <f>AND(#REF!,"AAAAAD3//1I=")</f>
        <v>#REF!</v>
      </c>
      <c r="CF39" t="e">
        <f>AND(#REF!,"AAAAAD3//1M=")</f>
        <v>#REF!</v>
      </c>
      <c r="CG39" t="e">
        <f>AND(#REF!,"AAAAAD3//1Q=")</f>
        <v>#REF!</v>
      </c>
      <c r="CH39" t="e">
        <f>IF(#REF!,"AAAAAD3//1U=",0)</f>
        <v>#REF!</v>
      </c>
      <c r="CI39" t="e">
        <f>AND(#REF!,"AAAAAD3//1Y=")</f>
        <v>#REF!</v>
      </c>
      <c r="CJ39" t="e">
        <f>AND(#REF!,"AAAAAD3//1c=")</f>
        <v>#REF!</v>
      </c>
      <c r="CK39" t="e">
        <f>AND(#REF!,"AAAAAD3//1g=")</f>
        <v>#REF!</v>
      </c>
      <c r="CL39" t="e">
        <f>AND(#REF!,"AAAAAD3//1k=")</f>
        <v>#REF!</v>
      </c>
      <c r="CM39" t="e">
        <f>AND(#REF!,"AAAAAD3//1o=")</f>
        <v>#REF!</v>
      </c>
      <c r="CN39" t="e">
        <f>AND(#REF!,"AAAAAD3//1s=")</f>
        <v>#REF!</v>
      </c>
      <c r="CO39" t="e">
        <f>AND(#REF!,"AAAAAD3//1w=")</f>
        <v>#REF!</v>
      </c>
      <c r="CP39" t="e">
        <f>AND(#REF!,"AAAAAD3//10=")</f>
        <v>#REF!</v>
      </c>
      <c r="CQ39" t="e">
        <f>AND(#REF!,"AAAAAD3//14=")</f>
        <v>#REF!</v>
      </c>
      <c r="CR39" t="e">
        <f>AND(#REF!,"AAAAAD3//18=")</f>
        <v>#REF!</v>
      </c>
      <c r="CS39" t="e">
        <f>AND(#REF!,"AAAAAD3//2A=")</f>
        <v>#REF!</v>
      </c>
      <c r="CT39" t="e">
        <f>AND(#REF!,"AAAAAD3//2E=")</f>
        <v>#REF!</v>
      </c>
      <c r="CU39" t="e">
        <f>AND(#REF!,"AAAAAD3//2I=")</f>
        <v>#REF!</v>
      </c>
      <c r="CV39" t="e">
        <f>AND(#REF!,"AAAAAD3//2M=")</f>
        <v>#REF!</v>
      </c>
      <c r="CW39" t="e">
        <f>AND(#REF!,"AAAAAD3//2Q=")</f>
        <v>#REF!</v>
      </c>
      <c r="CX39" t="e">
        <f>AND(#REF!,"AAAAAD3//2U=")</f>
        <v>#REF!</v>
      </c>
      <c r="CY39" t="e">
        <f>AND(#REF!,"AAAAAD3//2Y=")</f>
        <v>#REF!</v>
      </c>
      <c r="CZ39" t="e">
        <f>AND(#REF!,"AAAAAD3//2c=")</f>
        <v>#REF!</v>
      </c>
      <c r="DA39" t="e">
        <f>AND(#REF!,"AAAAAD3//2g=")</f>
        <v>#REF!</v>
      </c>
      <c r="DB39" t="e">
        <f>AND(#REF!,"AAAAAD3//2k=")</f>
        <v>#REF!</v>
      </c>
      <c r="DC39" t="e">
        <f>AND(#REF!,"AAAAAD3//2o=")</f>
        <v>#REF!</v>
      </c>
      <c r="DD39" t="e">
        <f>IF(#REF!,"AAAAAD3//2s=",0)</f>
        <v>#REF!</v>
      </c>
      <c r="DE39" t="e">
        <f>AND(#REF!,"AAAAAD3//2w=")</f>
        <v>#REF!</v>
      </c>
      <c r="DF39" t="e">
        <f>AND(#REF!,"AAAAAD3//20=")</f>
        <v>#REF!</v>
      </c>
      <c r="DG39" t="e">
        <f>AND(#REF!,"AAAAAD3//24=")</f>
        <v>#REF!</v>
      </c>
      <c r="DH39" t="e">
        <f>AND(#REF!,"AAAAAD3//28=")</f>
        <v>#REF!</v>
      </c>
      <c r="DI39" t="e">
        <f>AND(#REF!,"AAAAAD3//3A=")</f>
        <v>#REF!</v>
      </c>
      <c r="DJ39" t="e">
        <f>AND(#REF!,"AAAAAD3//3E=")</f>
        <v>#REF!</v>
      </c>
      <c r="DK39" t="e">
        <f>AND(#REF!,"AAAAAD3//3I=")</f>
        <v>#REF!</v>
      </c>
      <c r="DL39" t="e">
        <f>AND(#REF!,"AAAAAD3//3M=")</f>
        <v>#REF!</v>
      </c>
      <c r="DM39" t="e">
        <f>AND(#REF!,"AAAAAD3//3Q=")</f>
        <v>#REF!</v>
      </c>
      <c r="DN39" t="e">
        <f>AND(#REF!,"AAAAAD3//3U=")</f>
        <v>#REF!</v>
      </c>
      <c r="DO39" t="e">
        <f>AND(#REF!,"AAAAAD3//3Y=")</f>
        <v>#REF!</v>
      </c>
      <c r="DP39" t="e">
        <f>AND(#REF!,"AAAAAD3//3c=")</f>
        <v>#REF!</v>
      </c>
      <c r="DQ39" t="e">
        <f>AND(#REF!,"AAAAAD3//3g=")</f>
        <v>#REF!</v>
      </c>
      <c r="DR39" t="e">
        <f>AND(#REF!,"AAAAAD3//3k=")</f>
        <v>#REF!</v>
      </c>
      <c r="DS39" t="e">
        <f>AND(#REF!,"AAAAAD3//3o=")</f>
        <v>#REF!</v>
      </c>
      <c r="DT39" t="e">
        <f>AND(#REF!,"AAAAAD3//3s=")</f>
        <v>#REF!</v>
      </c>
      <c r="DU39" t="e">
        <f>AND(#REF!,"AAAAAD3//3w=")</f>
        <v>#REF!</v>
      </c>
      <c r="DV39" t="e">
        <f>AND(#REF!,"AAAAAD3//30=")</f>
        <v>#REF!</v>
      </c>
      <c r="DW39" t="e">
        <f>AND(#REF!,"AAAAAD3//34=")</f>
        <v>#REF!</v>
      </c>
      <c r="DX39" t="e">
        <f>AND(#REF!,"AAAAAD3//38=")</f>
        <v>#REF!</v>
      </c>
      <c r="DY39" t="e">
        <f>AND(#REF!,"AAAAAD3//4A=")</f>
        <v>#REF!</v>
      </c>
      <c r="DZ39" t="e">
        <f>IF(#REF!,"AAAAAD3//4E=",0)</f>
        <v>#REF!</v>
      </c>
      <c r="EA39" t="e">
        <f>AND(#REF!,"AAAAAD3//4I=")</f>
        <v>#REF!</v>
      </c>
      <c r="EB39" t="e">
        <f>AND(#REF!,"AAAAAD3//4M=")</f>
        <v>#REF!</v>
      </c>
      <c r="EC39" t="e">
        <f>AND(#REF!,"AAAAAD3//4Q=")</f>
        <v>#REF!</v>
      </c>
      <c r="ED39" t="e">
        <f>AND(#REF!,"AAAAAD3//4U=")</f>
        <v>#REF!</v>
      </c>
      <c r="EE39" t="e">
        <f>AND(#REF!,"AAAAAD3//4Y=")</f>
        <v>#REF!</v>
      </c>
      <c r="EF39" t="e">
        <f>AND(#REF!,"AAAAAD3//4c=")</f>
        <v>#REF!</v>
      </c>
      <c r="EG39" t="e">
        <f>AND(#REF!,"AAAAAD3//4g=")</f>
        <v>#REF!</v>
      </c>
      <c r="EH39" t="e">
        <f>AND(#REF!,"AAAAAD3//4k=")</f>
        <v>#REF!</v>
      </c>
      <c r="EI39" t="e">
        <f>AND(#REF!,"AAAAAD3//4o=")</f>
        <v>#REF!</v>
      </c>
      <c r="EJ39" t="e">
        <f>AND(#REF!,"AAAAAD3//4s=")</f>
        <v>#REF!</v>
      </c>
      <c r="EK39" t="e">
        <f>AND(#REF!,"AAAAAD3//4w=")</f>
        <v>#REF!</v>
      </c>
      <c r="EL39" t="e">
        <f>AND(#REF!,"AAAAAD3//40=")</f>
        <v>#REF!</v>
      </c>
      <c r="EM39" t="e">
        <f>AND(#REF!,"AAAAAD3//44=")</f>
        <v>#REF!</v>
      </c>
      <c r="EN39" t="e">
        <f>AND(#REF!,"AAAAAD3//48=")</f>
        <v>#REF!</v>
      </c>
      <c r="EO39" t="e">
        <f>AND(#REF!,"AAAAAD3//5A=")</f>
        <v>#REF!</v>
      </c>
      <c r="EP39" t="e">
        <f>AND(#REF!,"AAAAAD3//5E=")</f>
        <v>#REF!</v>
      </c>
      <c r="EQ39" t="e">
        <f>AND(#REF!,"AAAAAD3//5I=")</f>
        <v>#REF!</v>
      </c>
      <c r="ER39" t="e">
        <f>AND(#REF!,"AAAAAD3//5M=")</f>
        <v>#REF!</v>
      </c>
      <c r="ES39" t="e">
        <f>AND(#REF!,"AAAAAD3//5Q=")</f>
        <v>#REF!</v>
      </c>
      <c r="ET39" t="e">
        <f>AND(#REF!,"AAAAAD3//5U=")</f>
        <v>#REF!</v>
      </c>
      <c r="EU39" t="e">
        <f>AND(#REF!,"AAAAAD3//5Y=")</f>
        <v>#REF!</v>
      </c>
      <c r="EV39" t="e">
        <f>IF(#REF!,"AAAAAD3//5c=",0)</f>
        <v>#REF!</v>
      </c>
      <c r="EW39" t="e">
        <f>AND(#REF!,"AAAAAD3//5g=")</f>
        <v>#REF!</v>
      </c>
      <c r="EX39" t="e">
        <f>AND(#REF!,"AAAAAD3//5k=")</f>
        <v>#REF!</v>
      </c>
      <c r="EY39" t="e">
        <f>AND(#REF!,"AAAAAD3//5o=")</f>
        <v>#REF!</v>
      </c>
      <c r="EZ39" t="e">
        <f>AND(#REF!,"AAAAAD3//5s=")</f>
        <v>#REF!</v>
      </c>
      <c r="FA39" t="e">
        <f>AND(#REF!,"AAAAAD3//5w=")</f>
        <v>#REF!</v>
      </c>
      <c r="FB39" t="e">
        <f>AND(#REF!,"AAAAAD3//50=")</f>
        <v>#REF!</v>
      </c>
      <c r="FC39" t="e">
        <f>AND(#REF!,"AAAAAD3//54=")</f>
        <v>#REF!</v>
      </c>
      <c r="FD39" t="e">
        <f>AND(#REF!,"AAAAAD3//58=")</f>
        <v>#REF!</v>
      </c>
      <c r="FE39" t="e">
        <f>AND(#REF!,"AAAAAD3//6A=")</f>
        <v>#REF!</v>
      </c>
      <c r="FF39" t="e">
        <f>AND(#REF!,"AAAAAD3//6E=")</f>
        <v>#REF!</v>
      </c>
      <c r="FG39" t="e">
        <f>AND(#REF!,"AAAAAD3//6I=")</f>
        <v>#REF!</v>
      </c>
      <c r="FH39" t="e">
        <f>AND(#REF!,"AAAAAD3//6M=")</f>
        <v>#REF!</v>
      </c>
      <c r="FI39" t="e">
        <f>AND(#REF!,"AAAAAD3//6Q=")</f>
        <v>#REF!</v>
      </c>
      <c r="FJ39" t="e">
        <f>AND(#REF!,"AAAAAD3//6U=")</f>
        <v>#REF!</v>
      </c>
      <c r="FK39" t="e">
        <f>AND(#REF!,"AAAAAD3//6Y=")</f>
        <v>#REF!</v>
      </c>
      <c r="FL39" t="e">
        <f>AND(#REF!,"AAAAAD3//6c=")</f>
        <v>#REF!</v>
      </c>
      <c r="FM39" t="e">
        <f>AND(#REF!,"AAAAAD3//6g=")</f>
        <v>#REF!</v>
      </c>
      <c r="FN39" t="e">
        <f>AND(#REF!,"AAAAAD3//6k=")</f>
        <v>#REF!</v>
      </c>
      <c r="FO39" t="e">
        <f>AND(#REF!,"AAAAAD3//6o=")</f>
        <v>#REF!</v>
      </c>
      <c r="FP39" t="e">
        <f>AND(#REF!,"AAAAAD3//6s=")</f>
        <v>#REF!</v>
      </c>
      <c r="FQ39" t="e">
        <f>AND(#REF!,"AAAAAD3//6w=")</f>
        <v>#REF!</v>
      </c>
      <c r="FR39" t="e">
        <f>IF(#REF!,"AAAAAD3//60=",0)</f>
        <v>#REF!</v>
      </c>
      <c r="FS39" t="e">
        <f>AND(#REF!,"AAAAAD3//64=")</f>
        <v>#REF!</v>
      </c>
      <c r="FT39" t="e">
        <f>AND(#REF!,"AAAAAD3//68=")</f>
        <v>#REF!</v>
      </c>
      <c r="FU39" t="e">
        <f>AND(#REF!,"AAAAAD3//7A=")</f>
        <v>#REF!</v>
      </c>
      <c r="FV39" t="e">
        <f>AND(#REF!,"AAAAAD3//7E=")</f>
        <v>#REF!</v>
      </c>
      <c r="FW39" t="e">
        <f>AND(#REF!,"AAAAAD3//7I=")</f>
        <v>#REF!</v>
      </c>
      <c r="FX39" t="e">
        <f>AND(#REF!,"AAAAAD3//7M=")</f>
        <v>#REF!</v>
      </c>
      <c r="FY39" t="e">
        <f>AND(#REF!,"AAAAAD3//7Q=")</f>
        <v>#REF!</v>
      </c>
      <c r="FZ39" t="e">
        <f>AND(#REF!,"AAAAAD3//7U=")</f>
        <v>#REF!</v>
      </c>
      <c r="GA39" t="e">
        <f>AND(#REF!,"AAAAAD3//7Y=")</f>
        <v>#REF!</v>
      </c>
      <c r="GB39" t="e">
        <f>AND(#REF!,"AAAAAD3//7c=")</f>
        <v>#REF!</v>
      </c>
      <c r="GC39" t="e">
        <f>AND(#REF!,"AAAAAD3//7g=")</f>
        <v>#REF!</v>
      </c>
      <c r="GD39" t="e">
        <f>AND(#REF!,"AAAAAD3//7k=")</f>
        <v>#REF!</v>
      </c>
      <c r="GE39" t="e">
        <f>AND(#REF!,"AAAAAD3//7o=")</f>
        <v>#REF!</v>
      </c>
      <c r="GF39" t="e">
        <f>AND(#REF!,"AAAAAD3//7s=")</f>
        <v>#REF!</v>
      </c>
      <c r="GG39" t="e">
        <f>AND(#REF!,"AAAAAD3//7w=")</f>
        <v>#REF!</v>
      </c>
      <c r="GH39" t="e">
        <f>AND(#REF!,"AAAAAD3//70=")</f>
        <v>#REF!</v>
      </c>
      <c r="GI39" t="e">
        <f>AND(#REF!,"AAAAAD3//74=")</f>
        <v>#REF!</v>
      </c>
      <c r="GJ39" t="e">
        <f>AND(#REF!,"AAAAAD3//78=")</f>
        <v>#REF!</v>
      </c>
      <c r="GK39" t="e">
        <f>AND(#REF!,"AAAAAD3//8A=")</f>
        <v>#REF!</v>
      </c>
      <c r="GL39" t="e">
        <f>AND(#REF!,"AAAAAD3//8E=")</f>
        <v>#REF!</v>
      </c>
      <c r="GM39" t="e">
        <f>AND(#REF!,"AAAAAD3//8I=")</f>
        <v>#REF!</v>
      </c>
      <c r="GN39" t="e">
        <f>IF(#REF!,"AAAAAD3//8M=",0)</f>
        <v>#REF!</v>
      </c>
      <c r="GO39" t="e">
        <f>AND(#REF!,"AAAAAD3//8Q=")</f>
        <v>#REF!</v>
      </c>
      <c r="GP39" t="e">
        <f>AND(#REF!,"AAAAAD3//8U=")</f>
        <v>#REF!</v>
      </c>
      <c r="GQ39" t="e">
        <f>AND(#REF!,"AAAAAD3//8Y=")</f>
        <v>#REF!</v>
      </c>
      <c r="GR39" t="e">
        <f>AND(#REF!,"AAAAAD3//8c=")</f>
        <v>#REF!</v>
      </c>
      <c r="GS39" t="e">
        <f>AND(#REF!,"AAAAAD3//8g=")</f>
        <v>#REF!</v>
      </c>
      <c r="GT39" t="e">
        <f>AND(#REF!,"AAAAAD3//8k=")</f>
        <v>#REF!</v>
      </c>
      <c r="GU39" t="e">
        <f>AND(#REF!,"AAAAAD3//8o=")</f>
        <v>#REF!</v>
      </c>
      <c r="GV39" t="e">
        <f>AND(#REF!,"AAAAAD3//8s=")</f>
        <v>#REF!</v>
      </c>
      <c r="GW39" t="e">
        <f>AND(#REF!,"AAAAAD3//8w=")</f>
        <v>#REF!</v>
      </c>
      <c r="GX39" t="e">
        <f>AND(#REF!,"AAAAAD3//80=")</f>
        <v>#REF!</v>
      </c>
      <c r="GY39" t="e">
        <f>AND(#REF!,"AAAAAD3//84=")</f>
        <v>#REF!</v>
      </c>
      <c r="GZ39" t="e">
        <f>AND(#REF!,"AAAAAD3//88=")</f>
        <v>#REF!</v>
      </c>
      <c r="HA39" t="e">
        <f>AND(#REF!,"AAAAAD3//9A=")</f>
        <v>#REF!</v>
      </c>
      <c r="HB39" t="e">
        <f>AND(#REF!,"AAAAAD3//9E=")</f>
        <v>#REF!</v>
      </c>
      <c r="HC39" t="e">
        <f>AND(#REF!,"AAAAAD3//9I=")</f>
        <v>#REF!</v>
      </c>
      <c r="HD39" t="e">
        <f>AND(#REF!,"AAAAAD3//9M=")</f>
        <v>#REF!</v>
      </c>
      <c r="HE39" t="e">
        <f>AND(#REF!,"AAAAAD3//9Q=")</f>
        <v>#REF!</v>
      </c>
      <c r="HF39" t="e">
        <f>AND(#REF!,"AAAAAD3//9U=")</f>
        <v>#REF!</v>
      </c>
      <c r="HG39" t="e">
        <f>AND(#REF!,"AAAAAD3//9Y=")</f>
        <v>#REF!</v>
      </c>
      <c r="HH39" t="e">
        <f>AND(#REF!,"AAAAAD3//9c=")</f>
        <v>#REF!</v>
      </c>
      <c r="HI39" t="e">
        <f>AND(#REF!,"AAAAAD3//9g=")</f>
        <v>#REF!</v>
      </c>
      <c r="HJ39" t="e">
        <f>IF(#REF!,"AAAAAD3//9k=",0)</f>
        <v>#REF!</v>
      </c>
      <c r="HK39" t="e">
        <f>AND(#REF!,"AAAAAD3//9o=")</f>
        <v>#REF!</v>
      </c>
      <c r="HL39" t="e">
        <f>AND(#REF!,"AAAAAD3//9s=")</f>
        <v>#REF!</v>
      </c>
      <c r="HM39" t="e">
        <f>AND(#REF!,"AAAAAD3//9w=")</f>
        <v>#REF!</v>
      </c>
      <c r="HN39" t="e">
        <f>AND(#REF!,"AAAAAD3//90=")</f>
        <v>#REF!</v>
      </c>
      <c r="HO39" t="e">
        <f>AND(#REF!,"AAAAAD3//94=")</f>
        <v>#REF!</v>
      </c>
      <c r="HP39" t="e">
        <f>AND(#REF!,"AAAAAD3//98=")</f>
        <v>#REF!</v>
      </c>
      <c r="HQ39" t="e">
        <f>AND(#REF!,"AAAAAD3//+A=")</f>
        <v>#REF!</v>
      </c>
      <c r="HR39" t="e">
        <f>AND(#REF!,"AAAAAD3//+E=")</f>
        <v>#REF!</v>
      </c>
      <c r="HS39" t="e">
        <f>AND(#REF!,"AAAAAD3//+I=")</f>
        <v>#REF!</v>
      </c>
      <c r="HT39" t="e">
        <f>AND(#REF!,"AAAAAD3//+M=")</f>
        <v>#REF!</v>
      </c>
      <c r="HU39" t="e">
        <f>AND(#REF!,"AAAAAD3//+Q=")</f>
        <v>#REF!</v>
      </c>
      <c r="HV39" t="e">
        <f>AND(#REF!,"AAAAAD3//+U=")</f>
        <v>#REF!</v>
      </c>
      <c r="HW39" t="e">
        <f>AND(#REF!,"AAAAAD3//+Y=")</f>
        <v>#REF!</v>
      </c>
      <c r="HX39" t="e">
        <f>AND(#REF!,"AAAAAD3//+c=")</f>
        <v>#REF!</v>
      </c>
      <c r="HY39" t="e">
        <f>AND(#REF!,"AAAAAD3//+g=")</f>
        <v>#REF!</v>
      </c>
      <c r="HZ39" t="e">
        <f>AND(#REF!,"AAAAAD3//+k=")</f>
        <v>#REF!</v>
      </c>
      <c r="IA39" t="e">
        <f>AND(#REF!,"AAAAAD3//+o=")</f>
        <v>#REF!</v>
      </c>
      <c r="IB39" t="e">
        <f>AND(#REF!,"AAAAAD3//+s=")</f>
        <v>#REF!</v>
      </c>
      <c r="IC39" t="e">
        <f>AND(#REF!,"AAAAAD3//+w=")</f>
        <v>#REF!</v>
      </c>
      <c r="ID39" t="e">
        <f>AND(#REF!,"AAAAAD3//+0=")</f>
        <v>#REF!</v>
      </c>
      <c r="IE39" t="e">
        <f>AND(#REF!,"AAAAAD3//+4=")</f>
        <v>#REF!</v>
      </c>
      <c r="IF39" t="e">
        <f>IF(#REF!,"AAAAAD3//+8=",0)</f>
        <v>#REF!</v>
      </c>
      <c r="IG39" t="e">
        <f>AND(#REF!,"AAAAAD3///A=")</f>
        <v>#REF!</v>
      </c>
      <c r="IH39" t="e">
        <f>AND(#REF!,"AAAAAD3///E=")</f>
        <v>#REF!</v>
      </c>
      <c r="II39" t="e">
        <f>AND(#REF!,"AAAAAD3///I=")</f>
        <v>#REF!</v>
      </c>
      <c r="IJ39" t="e">
        <f>AND(#REF!,"AAAAAD3///M=")</f>
        <v>#REF!</v>
      </c>
      <c r="IK39" t="e">
        <f>AND(#REF!,"AAAAAD3///Q=")</f>
        <v>#REF!</v>
      </c>
      <c r="IL39" t="e">
        <f>AND(#REF!,"AAAAAD3///U=")</f>
        <v>#REF!</v>
      </c>
      <c r="IM39" t="e">
        <f>AND(#REF!,"AAAAAD3///Y=")</f>
        <v>#REF!</v>
      </c>
      <c r="IN39" t="e">
        <f>AND(#REF!,"AAAAAD3///c=")</f>
        <v>#REF!</v>
      </c>
      <c r="IO39" t="e">
        <f>AND(#REF!,"AAAAAD3///g=")</f>
        <v>#REF!</v>
      </c>
      <c r="IP39" t="e">
        <f>AND(#REF!,"AAAAAD3///k=")</f>
        <v>#REF!</v>
      </c>
      <c r="IQ39" t="e">
        <f>AND(#REF!,"AAAAAD3///o=")</f>
        <v>#REF!</v>
      </c>
      <c r="IR39" t="e">
        <f>AND(#REF!,"AAAAAD3///s=")</f>
        <v>#REF!</v>
      </c>
      <c r="IS39" t="e">
        <f>AND(#REF!,"AAAAAD3///w=")</f>
        <v>#REF!</v>
      </c>
      <c r="IT39" t="e">
        <f>AND(#REF!,"AAAAAD3///0=")</f>
        <v>#REF!</v>
      </c>
      <c r="IU39" t="e">
        <f>AND(#REF!,"AAAAAD3///4=")</f>
        <v>#REF!</v>
      </c>
      <c r="IV39" t="e">
        <f>AND(#REF!,"AAAAAD3///8=")</f>
        <v>#REF!</v>
      </c>
    </row>
    <row r="40" spans="1:256">
      <c r="A40" t="e">
        <f>AND(#REF!,"AAAAAHf/pQA=")</f>
        <v>#REF!</v>
      </c>
      <c r="B40" t="e">
        <f>AND(#REF!,"AAAAAHf/pQE=")</f>
        <v>#REF!</v>
      </c>
      <c r="C40" t="e">
        <f>AND(#REF!,"AAAAAHf/pQI=")</f>
        <v>#REF!</v>
      </c>
      <c r="D40" t="e">
        <f>AND(#REF!,"AAAAAHf/pQM=")</f>
        <v>#REF!</v>
      </c>
      <c r="E40" t="e">
        <f>AND(#REF!,"AAAAAHf/pQQ=")</f>
        <v>#REF!</v>
      </c>
      <c r="F40" t="e">
        <f>IF(#REF!,"AAAAAHf/pQU=",0)</f>
        <v>#REF!</v>
      </c>
      <c r="G40" t="e">
        <f>AND(#REF!,"AAAAAHf/pQY=")</f>
        <v>#REF!</v>
      </c>
      <c r="H40" t="e">
        <f>AND(#REF!,"AAAAAHf/pQc=")</f>
        <v>#REF!</v>
      </c>
      <c r="I40" t="e">
        <f>AND(#REF!,"AAAAAHf/pQg=")</f>
        <v>#REF!</v>
      </c>
      <c r="J40" t="e">
        <f>AND(#REF!,"AAAAAHf/pQk=")</f>
        <v>#REF!</v>
      </c>
      <c r="K40" t="e">
        <f>AND(#REF!,"AAAAAHf/pQo=")</f>
        <v>#REF!</v>
      </c>
      <c r="L40" t="e">
        <f>AND(#REF!,"AAAAAHf/pQs=")</f>
        <v>#REF!</v>
      </c>
      <c r="M40" t="e">
        <f>AND(#REF!,"AAAAAHf/pQw=")</f>
        <v>#REF!</v>
      </c>
      <c r="N40" t="e">
        <f>AND(#REF!,"AAAAAHf/pQ0=")</f>
        <v>#REF!</v>
      </c>
      <c r="O40" t="e">
        <f>AND(#REF!,"AAAAAHf/pQ4=")</f>
        <v>#REF!</v>
      </c>
      <c r="P40" t="e">
        <f>AND(#REF!,"AAAAAHf/pQ8=")</f>
        <v>#REF!</v>
      </c>
      <c r="Q40" t="e">
        <f>AND(#REF!,"AAAAAHf/pRA=")</f>
        <v>#REF!</v>
      </c>
      <c r="R40" t="e">
        <f>AND(#REF!,"AAAAAHf/pRE=")</f>
        <v>#REF!</v>
      </c>
      <c r="S40" t="e">
        <f>AND(#REF!,"AAAAAHf/pRI=")</f>
        <v>#REF!</v>
      </c>
      <c r="T40" t="e">
        <f>AND(#REF!,"AAAAAHf/pRM=")</f>
        <v>#REF!</v>
      </c>
      <c r="U40" t="e">
        <f>AND(#REF!,"AAAAAHf/pRQ=")</f>
        <v>#REF!</v>
      </c>
      <c r="V40" t="e">
        <f>AND(#REF!,"AAAAAHf/pRU=")</f>
        <v>#REF!</v>
      </c>
      <c r="W40" t="e">
        <f>AND(#REF!,"AAAAAHf/pRY=")</f>
        <v>#REF!</v>
      </c>
      <c r="X40" t="e">
        <f>AND(#REF!,"AAAAAHf/pRc=")</f>
        <v>#REF!</v>
      </c>
      <c r="Y40" t="e">
        <f>AND(#REF!,"AAAAAHf/pRg=")</f>
        <v>#REF!</v>
      </c>
      <c r="Z40" t="e">
        <f>AND(#REF!,"AAAAAHf/pRk=")</f>
        <v>#REF!</v>
      </c>
      <c r="AA40" t="e">
        <f>AND(#REF!,"AAAAAHf/pRo=")</f>
        <v>#REF!</v>
      </c>
      <c r="AB40" t="e">
        <f>IF(#REF!,"AAAAAHf/pRs=",0)</f>
        <v>#REF!</v>
      </c>
      <c r="AC40" t="e">
        <f>AND(#REF!,"AAAAAHf/pRw=")</f>
        <v>#REF!</v>
      </c>
      <c r="AD40" t="e">
        <f>AND(#REF!,"AAAAAHf/pR0=")</f>
        <v>#REF!</v>
      </c>
      <c r="AE40" t="e">
        <f>AND(#REF!,"AAAAAHf/pR4=")</f>
        <v>#REF!</v>
      </c>
      <c r="AF40" t="e">
        <f>AND(#REF!,"AAAAAHf/pR8=")</f>
        <v>#REF!</v>
      </c>
      <c r="AG40" t="e">
        <f>AND(#REF!,"AAAAAHf/pSA=")</f>
        <v>#REF!</v>
      </c>
      <c r="AH40" t="e">
        <f>AND(#REF!,"AAAAAHf/pSE=")</f>
        <v>#REF!</v>
      </c>
      <c r="AI40" t="e">
        <f>AND(#REF!,"AAAAAHf/pSI=")</f>
        <v>#REF!</v>
      </c>
      <c r="AJ40" t="e">
        <f>AND(#REF!,"AAAAAHf/pSM=")</f>
        <v>#REF!</v>
      </c>
      <c r="AK40" t="e">
        <f>AND(#REF!,"AAAAAHf/pSQ=")</f>
        <v>#REF!</v>
      </c>
      <c r="AL40" t="e">
        <f>AND(#REF!,"AAAAAHf/pSU=")</f>
        <v>#REF!</v>
      </c>
      <c r="AM40" t="e">
        <f>AND(#REF!,"AAAAAHf/pSY=")</f>
        <v>#REF!</v>
      </c>
      <c r="AN40" t="e">
        <f>AND(#REF!,"AAAAAHf/pSc=")</f>
        <v>#REF!</v>
      </c>
      <c r="AO40" t="e">
        <f>AND(#REF!,"AAAAAHf/pSg=")</f>
        <v>#REF!</v>
      </c>
      <c r="AP40" t="e">
        <f>AND(#REF!,"AAAAAHf/pSk=")</f>
        <v>#REF!</v>
      </c>
      <c r="AQ40" t="e">
        <f>AND(#REF!,"AAAAAHf/pSo=")</f>
        <v>#REF!</v>
      </c>
      <c r="AR40" t="e">
        <f>AND(#REF!,"AAAAAHf/pSs=")</f>
        <v>#REF!</v>
      </c>
      <c r="AS40" t="e">
        <f>AND(#REF!,"AAAAAHf/pSw=")</f>
        <v>#REF!</v>
      </c>
      <c r="AT40" t="e">
        <f>AND(#REF!,"AAAAAHf/pS0=")</f>
        <v>#REF!</v>
      </c>
      <c r="AU40" t="e">
        <f>AND(#REF!,"AAAAAHf/pS4=")</f>
        <v>#REF!</v>
      </c>
      <c r="AV40" t="e">
        <f>AND(#REF!,"AAAAAHf/pS8=")</f>
        <v>#REF!</v>
      </c>
      <c r="AW40" t="e">
        <f>AND(#REF!,"AAAAAHf/pTA=")</f>
        <v>#REF!</v>
      </c>
      <c r="AX40" t="e">
        <f>IF(#REF!,"AAAAAHf/pTE=",0)</f>
        <v>#REF!</v>
      </c>
      <c r="AY40" t="e">
        <f>AND(#REF!,"AAAAAHf/pTI=")</f>
        <v>#REF!</v>
      </c>
      <c r="AZ40" t="e">
        <f>AND(#REF!,"AAAAAHf/pTM=")</f>
        <v>#REF!</v>
      </c>
      <c r="BA40" t="e">
        <f>AND(#REF!,"AAAAAHf/pTQ=")</f>
        <v>#REF!</v>
      </c>
      <c r="BB40" t="e">
        <f>AND(#REF!,"AAAAAHf/pTU=")</f>
        <v>#REF!</v>
      </c>
      <c r="BC40" t="e">
        <f>AND(#REF!,"AAAAAHf/pTY=")</f>
        <v>#REF!</v>
      </c>
      <c r="BD40" t="e">
        <f>AND(#REF!,"AAAAAHf/pTc=")</f>
        <v>#REF!</v>
      </c>
      <c r="BE40" t="e">
        <f>AND(#REF!,"AAAAAHf/pTg=")</f>
        <v>#REF!</v>
      </c>
      <c r="BF40" t="e">
        <f>AND(#REF!,"AAAAAHf/pTk=")</f>
        <v>#REF!</v>
      </c>
      <c r="BG40" t="e">
        <f>AND(#REF!,"AAAAAHf/pTo=")</f>
        <v>#REF!</v>
      </c>
      <c r="BH40" t="e">
        <f>AND(#REF!,"AAAAAHf/pTs=")</f>
        <v>#REF!</v>
      </c>
      <c r="BI40" t="e">
        <f>AND(#REF!,"AAAAAHf/pTw=")</f>
        <v>#REF!</v>
      </c>
      <c r="BJ40" t="e">
        <f>AND(#REF!,"AAAAAHf/pT0=")</f>
        <v>#REF!</v>
      </c>
      <c r="BK40" t="e">
        <f>AND(#REF!,"AAAAAHf/pT4=")</f>
        <v>#REF!</v>
      </c>
      <c r="BL40" t="e">
        <f>AND(#REF!,"AAAAAHf/pT8=")</f>
        <v>#REF!</v>
      </c>
      <c r="BM40" t="e">
        <f>AND(#REF!,"AAAAAHf/pUA=")</f>
        <v>#REF!</v>
      </c>
      <c r="BN40" t="e">
        <f>AND(#REF!,"AAAAAHf/pUE=")</f>
        <v>#REF!</v>
      </c>
      <c r="BO40" t="e">
        <f>AND(#REF!,"AAAAAHf/pUI=")</f>
        <v>#REF!</v>
      </c>
      <c r="BP40" t="e">
        <f>AND(#REF!,"AAAAAHf/pUM=")</f>
        <v>#REF!</v>
      </c>
      <c r="BQ40" t="e">
        <f>AND(#REF!,"AAAAAHf/pUQ=")</f>
        <v>#REF!</v>
      </c>
      <c r="BR40" t="e">
        <f>AND(#REF!,"AAAAAHf/pUU=")</f>
        <v>#REF!</v>
      </c>
      <c r="BS40" t="e">
        <f>AND(#REF!,"AAAAAHf/pUY=")</f>
        <v>#REF!</v>
      </c>
      <c r="BT40" t="e">
        <f>IF(#REF!,"AAAAAHf/pUc=",0)</f>
        <v>#REF!</v>
      </c>
      <c r="BU40" t="e">
        <f>AND(#REF!,"AAAAAHf/pUg=")</f>
        <v>#REF!</v>
      </c>
      <c r="BV40" t="e">
        <f>AND(#REF!,"AAAAAHf/pUk=")</f>
        <v>#REF!</v>
      </c>
      <c r="BW40" t="e">
        <f>AND(#REF!,"AAAAAHf/pUo=")</f>
        <v>#REF!</v>
      </c>
      <c r="BX40" t="e">
        <f>AND(#REF!,"AAAAAHf/pUs=")</f>
        <v>#REF!</v>
      </c>
      <c r="BY40" t="e">
        <f>AND(#REF!,"AAAAAHf/pUw=")</f>
        <v>#REF!</v>
      </c>
      <c r="BZ40" t="e">
        <f>AND(#REF!,"AAAAAHf/pU0=")</f>
        <v>#REF!</v>
      </c>
      <c r="CA40" t="e">
        <f>AND(#REF!,"AAAAAHf/pU4=")</f>
        <v>#REF!</v>
      </c>
      <c r="CB40" t="e">
        <f>AND(#REF!,"AAAAAHf/pU8=")</f>
        <v>#REF!</v>
      </c>
      <c r="CC40" t="e">
        <f>AND(#REF!,"AAAAAHf/pVA=")</f>
        <v>#REF!</v>
      </c>
      <c r="CD40" t="e">
        <f>AND(#REF!,"AAAAAHf/pVE=")</f>
        <v>#REF!</v>
      </c>
      <c r="CE40" t="e">
        <f>AND(#REF!,"AAAAAHf/pVI=")</f>
        <v>#REF!</v>
      </c>
      <c r="CF40" t="e">
        <f>AND(#REF!,"AAAAAHf/pVM=")</f>
        <v>#REF!</v>
      </c>
      <c r="CG40" t="e">
        <f>AND(#REF!,"AAAAAHf/pVQ=")</f>
        <v>#REF!</v>
      </c>
      <c r="CH40" t="e">
        <f>AND(#REF!,"AAAAAHf/pVU=")</f>
        <v>#REF!</v>
      </c>
      <c r="CI40" t="e">
        <f>AND(#REF!,"AAAAAHf/pVY=")</f>
        <v>#REF!</v>
      </c>
      <c r="CJ40" t="e">
        <f>AND(#REF!,"AAAAAHf/pVc=")</f>
        <v>#REF!</v>
      </c>
      <c r="CK40" t="e">
        <f>AND(#REF!,"AAAAAHf/pVg=")</f>
        <v>#REF!</v>
      </c>
      <c r="CL40" t="e">
        <f>AND(#REF!,"AAAAAHf/pVk=")</f>
        <v>#REF!</v>
      </c>
      <c r="CM40" t="e">
        <f>AND(#REF!,"AAAAAHf/pVo=")</f>
        <v>#REF!</v>
      </c>
      <c r="CN40" t="e">
        <f>AND(#REF!,"AAAAAHf/pVs=")</f>
        <v>#REF!</v>
      </c>
      <c r="CO40" t="e">
        <f>AND(#REF!,"AAAAAHf/pVw=")</f>
        <v>#REF!</v>
      </c>
      <c r="CP40" t="e">
        <f>IF(#REF!,"AAAAAHf/pV0=",0)</f>
        <v>#REF!</v>
      </c>
      <c r="CQ40" t="e">
        <f>AND(#REF!,"AAAAAHf/pV4=")</f>
        <v>#REF!</v>
      </c>
      <c r="CR40" t="e">
        <f>AND(#REF!,"AAAAAHf/pV8=")</f>
        <v>#REF!</v>
      </c>
      <c r="CS40" t="e">
        <f>AND(#REF!,"AAAAAHf/pWA=")</f>
        <v>#REF!</v>
      </c>
      <c r="CT40" t="e">
        <f>AND(#REF!,"AAAAAHf/pWE=")</f>
        <v>#REF!</v>
      </c>
      <c r="CU40" t="e">
        <f>AND(#REF!,"AAAAAHf/pWI=")</f>
        <v>#REF!</v>
      </c>
      <c r="CV40" t="e">
        <f>AND(#REF!,"AAAAAHf/pWM=")</f>
        <v>#REF!</v>
      </c>
      <c r="CW40" t="e">
        <f>AND(#REF!,"AAAAAHf/pWQ=")</f>
        <v>#REF!</v>
      </c>
      <c r="CX40" t="e">
        <f>AND(#REF!,"AAAAAHf/pWU=")</f>
        <v>#REF!</v>
      </c>
      <c r="CY40" t="e">
        <f>AND(#REF!,"AAAAAHf/pWY=")</f>
        <v>#REF!</v>
      </c>
      <c r="CZ40" t="e">
        <f>AND(#REF!,"AAAAAHf/pWc=")</f>
        <v>#REF!</v>
      </c>
      <c r="DA40" t="e">
        <f>AND(#REF!,"AAAAAHf/pWg=")</f>
        <v>#REF!</v>
      </c>
      <c r="DB40" t="e">
        <f>AND(#REF!,"AAAAAHf/pWk=")</f>
        <v>#REF!</v>
      </c>
      <c r="DC40" t="e">
        <f>AND(#REF!,"AAAAAHf/pWo=")</f>
        <v>#REF!</v>
      </c>
      <c r="DD40" t="e">
        <f>AND(#REF!,"AAAAAHf/pWs=")</f>
        <v>#REF!</v>
      </c>
      <c r="DE40" t="e">
        <f>AND(#REF!,"AAAAAHf/pWw=")</f>
        <v>#REF!</v>
      </c>
      <c r="DF40" t="e">
        <f>AND(#REF!,"AAAAAHf/pW0=")</f>
        <v>#REF!</v>
      </c>
      <c r="DG40" t="e">
        <f>AND(#REF!,"AAAAAHf/pW4=")</f>
        <v>#REF!</v>
      </c>
      <c r="DH40" t="e">
        <f>AND(#REF!,"AAAAAHf/pW8=")</f>
        <v>#REF!</v>
      </c>
      <c r="DI40" t="e">
        <f>AND(#REF!,"AAAAAHf/pXA=")</f>
        <v>#REF!</v>
      </c>
      <c r="DJ40" t="e">
        <f>AND(#REF!,"AAAAAHf/pXE=")</f>
        <v>#REF!</v>
      </c>
      <c r="DK40" t="e">
        <f>AND(#REF!,"AAAAAHf/pXI=")</f>
        <v>#REF!</v>
      </c>
      <c r="DL40" t="e">
        <f>IF(#REF!,"AAAAAHf/pXM=",0)</f>
        <v>#REF!</v>
      </c>
      <c r="DM40" t="e">
        <f>AND(#REF!,"AAAAAHf/pXQ=")</f>
        <v>#REF!</v>
      </c>
      <c r="DN40" t="e">
        <f>AND(#REF!,"AAAAAHf/pXU=")</f>
        <v>#REF!</v>
      </c>
      <c r="DO40" t="e">
        <f>AND(#REF!,"AAAAAHf/pXY=")</f>
        <v>#REF!</v>
      </c>
      <c r="DP40" t="e">
        <f>AND(#REF!,"AAAAAHf/pXc=")</f>
        <v>#REF!</v>
      </c>
      <c r="DQ40" t="e">
        <f>AND(#REF!,"AAAAAHf/pXg=")</f>
        <v>#REF!</v>
      </c>
      <c r="DR40" t="e">
        <f>AND(#REF!,"AAAAAHf/pXk=")</f>
        <v>#REF!</v>
      </c>
      <c r="DS40" t="e">
        <f>AND(#REF!,"AAAAAHf/pXo=")</f>
        <v>#REF!</v>
      </c>
      <c r="DT40" t="e">
        <f>AND(#REF!,"AAAAAHf/pXs=")</f>
        <v>#REF!</v>
      </c>
      <c r="DU40" t="e">
        <f>AND(#REF!,"AAAAAHf/pXw=")</f>
        <v>#REF!</v>
      </c>
      <c r="DV40" t="e">
        <f>AND(#REF!,"AAAAAHf/pX0=")</f>
        <v>#REF!</v>
      </c>
      <c r="DW40" t="e">
        <f>AND(#REF!,"AAAAAHf/pX4=")</f>
        <v>#REF!</v>
      </c>
      <c r="DX40" t="e">
        <f>AND(#REF!,"AAAAAHf/pX8=")</f>
        <v>#REF!</v>
      </c>
      <c r="DY40" t="e">
        <f>AND(#REF!,"AAAAAHf/pYA=")</f>
        <v>#REF!</v>
      </c>
      <c r="DZ40" t="e">
        <f>AND(#REF!,"AAAAAHf/pYE=")</f>
        <v>#REF!</v>
      </c>
      <c r="EA40" t="e">
        <f>AND(#REF!,"AAAAAHf/pYI=")</f>
        <v>#REF!</v>
      </c>
      <c r="EB40" t="e">
        <f>AND(#REF!,"AAAAAHf/pYM=")</f>
        <v>#REF!</v>
      </c>
      <c r="EC40" t="e">
        <f>AND(#REF!,"AAAAAHf/pYQ=")</f>
        <v>#REF!</v>
      </c>
      <c r="ED40" t="e">
        <f>AND(#REF!,"AAAAAHf/pYU=")</f>
        <v>#REF!</v>
      </c>
      <c r="EE40" t="e">
        <f>AND(#REF!,"AAAAAHf/pYY=")</f>
        <v>#REF!</v>
      </c>
      <c r="EF40" t="e">
        <f>AND(#REF!,"AAAAAHf/pYc=")</f>
        <v>#REF!</v>
      </c>
      <c r="EG40" t="e">
        <f>AND(#REF!,"AAAAAHf/pYg=")</f>
        <v>#REF!</v>
      </c>
      <c r="EH40" t="e">
        <f>IF(#REF!,"AAAAAHf/pYk=",0)</f>
        <v>#REF!</v>
      </c>
      <c r="EI40" t="e">
        <f>AND(#REF!,"AAAAAHf/pYo=")</f>
        <v>#REF!</v>
      </c>
      <c r="EJ40" t="e">
        <f>AND(#REF!,"AAAAAHf/pYs=")</f>
        <v>#REF!</v>
      </c>
      <c r="EK40" t="e">
        <f>AND(#REF!,"AAAAAHf/pYw=")</f>
        <v>#REF!</v>
      </c>
      <c r="EL40" t="e">
        <f>AND(#REF!,"AAAAAHf/pY0=")</f>
        <v>#REF!</v>
      </c>
      <c r="EM40" t="e">
        <f>AND(#REF!,"AAAAAHf/pY4=")</f>
        <v>#REF!</v>
      </c>
      <c r="EN40" t="e">
        <f>AND(#REF!,"AAAAAHf/pY8=")</f>
        <v>#REF!</v>
      </c>
      <c r="EO40" t="e">
        <f>AND(#REF!,"AAAAAHf/pZA=")</f>
        <v>#REF!</v>
      </c>
      <c r="EP40" t="e">
        <f>AND(#REF!,"AAAAAHf/pZE=")</f>
        <v>#REF!</v>
      </c>
      <c r="EQ40" t="e">
        <f>AND(#REF!,"AAAAAHf/pZI=")</f>
        <v>#REF!</v>
      </c>
      <c r="ER40" t="e">
        <f>AND(#REF!,"AAAAAHf/pZM=")</f>
        <v>#REF!</v>
      </c>
      <c r="ES40" t="e">
        <f>AND(#REF!,"AAAAAHf/pZQ=")</f>
        <v>#REF!</v>
      </c>
      <c r="ET40" t="e">
        <f>AND(#REF!,"AAAAAHf/pZU=")</f>
        <v>#REF!</v>
      </c>
      <c r="EU40" t="e">
        <f>AND(#REF!,"AAAAAHf/pZY=")</f>
        <v>#REF!</v>
      </c>
      <c r="EV40" t="e">
        <f>AND(#REF!,"AAAAAHf/pZc=")</f>
        <v>#REF!</v>
      </c>
      <c r="EW40" t="e">
        <f>AND(#REF!,"AAAAAHf/pZg=")</f>
        <v>#REF!</v>
      </c>
      <c r="EX40" t="e">
        <f>AND(#REF!,"AAAAAHf/pZk=")</f>
        <v>#REF!</v>
      </c>
      <c r="EY40" t="e">
        <f>AND(#REF!,"AAAAAHf/pZo=")</f>
        <v>#REF!</v>
      </c>
      <c r="EZ40" t="e">
        <f>AND(#REF!,"AAAAAHf/pZs=")</f>
        <v>#REF!</v>
      </c>
      <c r="FA40" t="e">
        <f>AND(#REF!,"AAAAAHf/pZw=")</f>
        <v>#REF!</v>
      </c>
      <c r="FB40" t="e">
        <f>AND(#REF!,"AAAAAHf/pZ0=")</f>
        <v>#REF!</v>
      </c>
      <c r="FC40" t="e">
        <f>AND(#REF!,"AAAAAHf/pZ4=")</f>
        <v>#REF!</v>
      </c>
      <c r="FD40" t="e">
        <f>IF(#REF!,"AAAAAHf/pZ8=",0)</f>
        <v>#REF!</v>
      </c>
      <c r="FE40" t="e">
        <f>AND(#REF!,"AAAAAHf/paA=")</f>
        <v>#REF!</v>
      </c>
      <c r="FF40" t="e">
        <f>AND(#REF!,"AAAAAHf/paE=")</f>
        <v>#REF!</v>
      </c>
      <c r="FG40" t="e">
        <f>AND(#REF!,"AAAAAHf/paI=")</f>
        <v>#REF!</v>
      </c>
      <c r="FH40" t="e">
        <f>AND(#REF!,"AAAAAHf/paM=")</f>
        <v>#REF!</v>
      </c>
      <c r="FI40" t="e">
        <f>AND(#REF!,"AAAAAHf/paQ=")</f>
        <v>#REF!</v>
      </c>
      <c r="FJ40" t="e">
        <f>AND(#REF!,"AAAAAHf/paU=")</f>
        <v>#REF!</v>
      </c>
      <c r="FK40" t="e">
        <f>AND(#REF!,"AAAAAHf/paY=")</f>
        <v>#REF!</v>
      </c>
      <c r="FL40" t="e">
        <f>AND(#REF!,"AAAAAHf/pac=")</f>
        <v>#REF!</v>
      </c>
      <c r="FM40" t="e">
        <f>AND(#REF!,"AAAAAHf/pag=")</f>
        <v>#REF!</v>
      </c>
      <c r="FN40" t="e">
        <f>AND(#REF!,"AAAAAHf/pak=")</f>
        <v>#REF!</v>
      </c>
      <c r="FO40" t="e">
        <f>AND(#REF!,"AAAAAHf/pao=")</f>
        <v>#REF!</v>
      </c>
      <c r="FP40" t="e">
        <f>AND(#REF!,"AAAAAHf/pas=")</f>
        <v>#REF!</v>
      </c>
      <c r="FQ40" t="e">
        <f>AND(#REF!,"AAAAAHf/paw=")</f>
        <v>#REF!</v>
      </c>
      <c r="FR40" t="e">
        <f>AND(#REF!,"AAAAAHf/pa0=")</f>
        <v>#REF!</v>
      </c>
      <c r="FS40" t="e">
        <f>AND(#REF!,"AAAAAHf/pa4=")</f>
        <v>#REF!</v>
      </c>
      <c r="FT40" t="e">
        <f>AND(#REF!,"AAAAAHf/pa8=")</f>
        <v>#REF!</v>
      </c>
      <c r="FU40" t="e">
        <f>AND(#REF!,"AAAAAHf/pbA=")</f>
        <v>#REF!</v>
      </c>
      <c r="FV40" t="e">
        <f>AND(#REF!,"AAAAAHf/pbE=")</f>
        <v>#REF!</v>
      </c>
      <c r="FW40" t="e">
        <f>AND(#REF!,"AAAAAHf/pbI=")</f>
        <v>#REF!</v>
      </c>
      <c r="FX40" t="e">
        <f>AND(#REF!,"AAAAAHf/pbM=")</f>
        <v>#REF!</v>
      </c>
      <c r="FY40" t="e">
        <f>AND(#REF!,"AAAAAHf/pbQ=")</f>
        <v>#REF!</v>
      </c>
      <c r="FZ40" t="e">
        <f>IF(#REF!,"AAAAAHf/pbU=",0)</f>
        <v>#REF!</v>
      </c>
      <c r="GA40" t="e">
        <f>AND(#REF!,"AAAAAHf/pbY=")</f>
        <v>#REF!</v>
      </c>
      <c r="GB40" t="e">
        <f>AND(#REF!,"AAAAAHf/pbc=")</f>
        <v>#REF!</v>
      </c>
      <c r="GC40" t="e">
        <f>AND(#REF!,"AAAAAHf/pbg=")</f>
        <v>#REF!</v>
      </c>
      <c r="GD40" t="e">
        <f>AND(#REF!,"AAAAAHf/pbk=")</f>
        <v>#REF!</v>
      </c>
      <c r="GE40" t="e">
        <f>AND(#REF!,"AAAAAHf/pbo=")</f>
        <v>#REF!</v>
      </c>
      <c r="GF40" t="e">
        <f>AND(#REF!,"AAAAAHf/pbs=")</f>
        <v>#REF!</v>
      </c>
      <c r="GG40" t="e">
        <f>AND(#REF!,"AAAAAHf/pbw=")</f>
        <v>#REF!</v>
      </c>
      <c r="GH40" t="e">
        <f>AND(#REF!,"AAAAAHf/pb0=")</f>
        <v>#REF!</v>
      </c>
      <c r="GI40" t="e">
        <f>AND(#REF!,"AAAAAHf/pb4=")</f>
        <v>#REF!</v>
      </c>
      <c r="GJ40" t="e">
        <f>AND(#REF!,"AAAAAHf/pb8=")</f>
        <v>#REF!</v>
      </c>
      <c r="GK40" t="e">
        <f>AND(#REF!,"AAAAAHf/pcA=")</f>
        <v>#REF!</v>
      </c>
      <c r="GL40" t="e">
        <f>AND(#REF!,"AAAAAHf/pcE=")</f>
        <v>#REF!</v>
      </c>
      <c r="GM40" t="e">
        <f>AND(#REF!,"AAAAAHf/pcI=")</f>
        <v>#REF!</v>
      </c>
      <c r="GN40" t="e">
        <f>AND(#REF!,"AAAAAHf/pcM=")</f>
        <v>#REF!</v>
      </c>
      <c r="GO40" t="e">
        <f>AND(#REF!,"AAAAAHf/pcQ=")</f>
        <v>#REF!</v>
      </c>
      <c r="GP40" t="e">
        <f>AND(#REF!,"AAAAAHf/pcU=")</f>
        <v>#REF!</v>
      </c>
      <c r="GQ40" t="e">
        <f>AND(#REF!,"AAAAAHf/pcY=")</f>
        <v>#REF!</v>
      </c>
      <c r="GR40" t="e">
        <f>AND(#REF!,"AAAAAHf/pcc=")</f>
        <v>#REF!</v>
      </c>
      <c r="GS40" t="e">
        <f>AND(#REF!,"AAAAAHf/pcg=")</f>
        <v>#REF!</v>
      </c>
      <c r="GT40" t="e">
        <f>AND(#REF!,"AAAAAHf/pck=")</f>
        <v>#REF!</v>
      </c>
      <c r="GU40" t="e">
        <f>AND(#REF!,"AAAAAHf/pco=")</f>
        <v>#REF!</v>
      </c>
      <c r="GV40" t="e">
        <f>IF(#REF!,"AAAAAHf/pcs=",0)</f>
        <v>#REF!</v>
      </c>
      <c r="GW40" t="e">
        <f>AND(#REF!,"AAAAAHf/pcw=")</f>
        <v>#REF!</v>
      </c>
      <c r="GX40" t="e">
        <f>AND(#REF!,"AAAAAHf/pc0=")</f>
        <v>#REF!</v>
      </c>
      <c r="GY40" t="e">
        <f>AND(#REF!,"AAAAAHf/pc4=")</f>
        <v>#REF!</v>
      </c>
      <c r="GZ40" t="e">
        <f>AND(#REF!,"AAAAAHf/pc8=")</f>
        <v>#REF!</v>
      </c>
      <c r="HA40" t="e">
        <f>AND(#REF!,"AAAAAHf/pdA=")</f>
        <v>#REF!</v>
      </c>
      <c r="HB40" t="e">
        <f>AND(#REF!,"AAAAAHf/pdE=")</f>
        <v>#REF!</v>
      </c>
      <c r="HC40" t="e">
        <f>AND(#REF!,"AAAAAHf/pdI=")</f>
        <v>#REF!</v>
      </c>
      <c r="HD40" t="e">
        <f>AND(#REF!,"AAAAAHf/pdM=")</f>
        <v>#REF!</v>
      </c>
      <c r="HE40" t="e">
        <f>AND(#REF!,"AAAAAHf/pdQ=")</f>
        <v>#REF!</v>
      </c>
      <c r="HF40" t="e">
        <f>AND(#REF!,"AAAAAHf/pdU=")</f>
        <v>#REF!</v>
      </c>
      <c r="HG40" t="e">
        <f>AND(#REF!,"AAAAAHf/pdY=")</f>
        <v>#REF!</v>
      </c>
      <c r="HH40" t="e">
        <f>AND(#REF!,"AAAAAHf/pdc=")</f>
        <v>#REF!</v>
      </c>
      <c r="HI40" t="e">
        <f>AND(#REF!,"AAAAAHf/pdg=")</f>
        <v>#REF!</v>
      </c>
      <c r="HJ40" t="e">
        <f>AND(#REF!,"AAAAAHf/pdk=")</f>
        <v>#REF!</v>
      </c>
      <c r="HK40" t="e">
        <f>AND(#REF!,"AAAAAHf/pdo=")</f>
        <v>#REF!</v>
      </c>
      <c r="HL40" t="e">
        <f>AND(#REF!,"AAAAAHf/pds=")</f>
        <v>#REF!</v>
      </c>
      <c r="HM40" t="e">
        <f>AND(#REF!,"AAAAAHf/pdw=")</f>
        <v>#REF!</v>
      </c>
      <c r="HN40" t="e">
        <f>AND(#REF!,"AAAAAHf/pd0=")</f>
        <v>#REF!</v>
      </c>
      <c r="HO40" t="e">
        <f>AND(#REF!,"AAAAAHf/pd4=")</f>
        <v>#REF!</v>
      </c>
      <c r="HP40" t="e">
        <f>AND(#REF!,"AAAAAHf/pd8=")</f>
        <v>#REF!</v>
      </c>
      <c r="HQ40" t="e">
        <f>AND(#REF!,"AAAAAHf/peA=")</f>
        <v>#REF!</v>
      </c>
      <c r="HR40" t="e">
        <f>IF(#REF!,"AAAAAHf/peE=",0)</f>
        <v>#REF!</v>
      </c>
      <c r="HS40" t="e">
        <f>AND(#REF!,"AAAAAHf/peI=")</f>
        <v>#REF!</v>
      </c>
      <c r="HT40" t="e">
        <f>AND(#REF!,"AAAAAHf/peM=")</f>
        <v>#REF!</v>
      </c>
      <c r="HU40" t="e">
        <f>AND(#REF!,"AAAAAHf/peQ=")</f>
        <v>#REF!</v>
      </c>
      <c r="HV40" t="e">
        <f>AND(#REF!,"AAAAAHf/peU=")</f>
        <v>#REF!</v>
      </c>
      <c r="HW40" t="e">
        <f>AND(#REF!,"AAAAAHf/peY=")</f>
        <v>#REF!</v>
      </c>
      <c r="HX40" t="e">
        <f>AND(#REF!,"AAAAAHf/pec=")</f>
        <v>#REF!</v>
      </c>
      <c r="HY40" t="e">
        <f>AND(#REF!,"AAAAAHf/peg=")</f>
        <v>#REF!</v>
      </c>
      <c r="HZ40" t="e">
        <f>AND(#REF!,"AAAAAHf/pek=")</f>
        <v>#REF!</v>
      </c>
      <c r="IA40" t="e">
        <f>AND(#REF!,"AAAAAHf/peo=")</f>
        <v>#REF!</v>
      </c>
      <c r="IB40" t="e">
        <f>AND(#REF!,"AAAAAHf/pes=")</f>
        <v>#REF!</v>
      </c>
      <c r="IC40" t="e">
        <f>AND(#REF!,"AAAAAHf/pew=")</f>
        <v>#REF!</v>
      </c>
      <c r="ID40" t="e">
        <f>AND(#REF!,"AAAAAHf/pe0=")</f>
        <v>#REF!</v>
      </c>
      <c r="IE40" t="e">
        <f>AND(#REF!,"AAAAAHf/pe4=")</f>
        <v>#REF!</v>
      </c>
      <c r="IF40" t="e">
        <f>AND(#REF!,"AAAAAHf/pe8=")</f>
        <v>#REF!</v>
      </c>
      <c r="IG40" t="e">
        <f>AND(#REF!,"AAAAAHf/pfA=")</f>
        <v>#REF!</v>
      </c>
      <c r="IH40" t="e">
        <f>AND(#REF!,"AAAAAHf/pfE=")</f>
        <v>#REF!</v>
      </c>
      <c r="II40" t="e">
        <f>AND(#REF!,"AAAAAHf/pfI=")</f>
        <v>#REF!</v>
      </c>
      <c r="IJ40" t="e">
        <f>AND(#REF!,"AAAAAHf/pfM=")</f>
        <v>#REF!</v>
      </c>
      <c r="IK40" t="e">
        <f>AND(#REF!,"AAAAAHf/pfQ=")</f>
        <v>#REF!</v>
      </c>
      <c r="IL40" t="e">
        <f>AND(#REF!,"AAAAAHf/pfU=")</f>
        <v>#REF!</v>
      </c>
      <c r="IM40" t="e">
        <f>AND(#REF!,"AAAAAHf/pfY=")</f>
        <v>#REF!</v>
      </c>
      <c r="IN40" t="e">
        <f>IF(#REF!,"AAAAAHf/pfc=",0)</f>
        <v>#REF!</v>
      </c>
      <c r="IO40" t="e">
        <f>AND(#REF!,"AAAAAHf/pfg=")</f>
        <v>#REF!</v>
      </c>
      <c r="IP40" t="e">
        <f>AND(#REF!,"AAAAAHf/pfk=")</f>
        <v>#REF!</v>
      </c>
      <c r="IQ40" t="e">
        <f>AND(#REF!,"AAAAAHf/pfo=")</f>
        <v>#REF!</v>
      </c>
      <c r="IR40" t="e">
        <f>AND(#REF!,"AAAAAHf/pfs=")</f>
        <v>#REF!</v>
      </c>
      <c r="IS40" t="e">
        <f>AND(#REF!,"AAAAAHf/pfw=")</f>
        <v>#REF!</v>
      </c>
      <c r="IT40" t="e">
        <f>AND(#REF!,"AAAAAHf/pf0=")</f>
        <v>#REF!</v>
      </c>
      <c r="IU40" t="e">
        <f>AND(#REF!,"AAAAAHf/pf4=")</f>
        <v>#REF!</v>
      </c>
      <c r="IV40" t="e">
        <f>AND(#REF!,"AAAAAHf/pf8=")</f>
        <v>#REF!</v>
      </c>
    </row>
    <row r="41" spans="1:256">
      <c r="A41" t="e">
        <f>AND(#REF!,"AAAAAD/z2gA=")</f>
        <v>#REF!</v>
      </c>
      <c r="B41" t="e">
        <f>AND(#REF!,"AAAAAD/z2gE=")</f>
        <v>#REF!</v>
      </c>
      <c r="C41" t="e">
        <f>AND(#REF!,"AAAAAD/z2gI=")</f>
        <v>#REF!</v>
      </c>
      <c r="D41" t="e">
        <f>AND(#REF!,"AAAAAD/z2gM=")</f>
        <v>#REF!</v>
      </c>
      <c r="E41" t="e">
        <f>AND(#REF!,"AAAAAD/z2gQ=")</f>
        <v>#REF!</v>
      </c>
      <c r="F41" t="e">
        <f>AND(#REF!,"AAAAAD/z2gU=")</f>
        <v>#REF!</v>
      </c>
      <c r="G41" t="e">
        <f>AND(#REF!,"AAAAAD/z2gY=")</f>
        <v>#REF!</v>
      </c>
      <c r="H41" t="e">
        <f>AND(#REF!,"AAAAAD/z2gc=")</f>
        <v>#REF!</v>
      </c>
      <c r="I41" t="e">
        <f>AND(#REF!,"AAAAAD/z2gg=")</f>
        <v>#REF!</v>
      </c>
      <c r="J41" t="e">
        <f>AND(#REF!,"AAAAAD/z2gk=")</f>
        <v>#REF!</v>
      </c>
      <c r="K41" t="e">
        <f>AND(#REF!,"AAAAAD/z2go=")</f>
        <v>#REF!</v>
      </c>
      <c r="L41" t="e">
        <f>AND(#REF!,"AAAAAD/z2gs=")</f>
        <v>#REF!</v>
      </c>
      <c r="M41" t="e">
        <f>AND(#REF!,"AAAAAD/z2gw=")</f>
        <v>#REF!</v>
      </c>
      <c r="N41" t="e">
        <f>IF(#REF!,"AAAAAD/z2g0=",0)</f>
        <v>#REF!</v>
      </c>
      <c r="O41" t="e">
        <f>AND(#REF!,"AAAAAD/z2g4=")</f>
        <v>#REF!</v>
      </c>
      <c r="P41" t="e">
        <f>AND(#REF!,"AAAAAD/z2g8=")</f>
        <v>#REF!</v>
      </c>
      <c r="Q41" t="e">
        <f>AND(#REF!,"AAAAAD/z2hA=")</f>
        <v>#REF!</v>
      </c>
      <c r="R41" t="e">
        <f>AND(#REF!,"AAAAAD/z2hE=")</f>
        <v>#REF!</v>
      </c>
      <c r="S41" t="e">
        <f>AND(#REF!,"AAAAAD/z2hI=")</f>
        <v>#REF!</v>
      </c>
      <c r="T41" t="e">
        <f>AND(#REF!,"AAAAAD/z2hM=")</f>
        <v>#REF!</v>
      </c>
      <c r="U41" t="e">
        <f>AND(#REF!,"AAAAAD/z2hQ=")</f>
        <v>#REF!</v>
      </c>
      <c r="V41" t="e">
        <f>AND(#REF!,"AAAAAD/z2hU=")</f>
        <v>#REF!</v>
      </c>
      <c r="W41" t="e">
        <f>AND(#REF!,"AAAAAD/z2hY=")</f>
        <v>#REF!</v>
      </c>
      <c r="X41" t="e">
        <f>AND(#REF!,"AAAAAD/z2hc=")</f>
        <v>#REF!</v>
      </c>
      <c r="Y41" t="e">
        <f>AND(#REF!,"AAAAAD/z2hg=")</f>
        <v>#REF!</v>
      </c>
      <c r="Z41" t="e">
        <f>AND(#REF!,"AAAAAD/z2hk=")</f>
        <v>#REF!</v>
      </c>
      <c r="AA41" t="e">
        <f>AND(#REF!,"AAAAAD/z2ho=")</f>
        <v>#REF!</v>
      </c>
      <c r="AB41" t="e">
        <f>AND(#REF!,"AAAAAD/z2hs=")</f>
        <v>#REF!</v>
      </c>
      <c r="AC41" t="e">
        <f>AND(#REF!,"AAAAAD/z2hw=")</f>
        <v>#REF!</v>
      </c>
      <c r="AD41" t="e">
        <f>AND(#REF!,"AAAAAD/z2h0=")</f>
        <v>#REF!</v>
      </c>
      <c r="AE41" t="e">
        <f>AND(#REF!,"AAAAAD/z2h4=")</f>
        <v>#REF!</v>
      </c>
      <c r="AF41" t="e">
        <f>AND(#REF!,"AAAAAD/z2h8=")</f>
        <v>#REF!</v>
      </c>
      <c r="AG41" t="e">
        <f>AND(#REF!,"AAAAAD/z2iA=")</f>
        <v>#REF!</v>
      </c>
      <c r="AH41" t="e">
        <f>AND(#REF!,"AAAAAD/z2iE=")</f>
        <v>#REF!</v>
      </c>
      <c r="AI41" t="e">
        <f>AND(#REF!,"AAAAAD/z2iI=")</f>
        <v>#REF!</v>
      </c>
      <c r="AJ41" t="e">
        <f>IF(#REF!,"AAAAAD/z2iM=",0)</f>
        <v>#REF!</v>
      </c>
      <c r="AK41" t="e">
        <f>AND(#REF!,"AAAAAD/z2iQ=")</f>
        <v>#REF!</v>
      </c>
      <c r="AL41" t="e">
        <f>AND(#REF!,"AAAAAD/z2iU=")</f>
        <v>#REF!</v>
      </c>
      <c r="AM41" t="e">
        <f>AND(#REF!,"AAAAAD/z2iY=")</f>
        <v>#REF!</v>
      </c>
      <c r="AN41" t="e">
        <f>AND(#REF!,"AAAAAD/z2ic=")</f>
        <v>#REF!</v>
      </c>
      <c r="AO41" t="e">
        <f>AND(#REF!,"AAAAAD/z2ig=")</f>
        <v>#REF!</v>
      </c>
      <c r="AP41" t="e">
        <f>AND(#REF!,"AAAAAD/z2ik=")</f>
        <v>#REF!</v>
      </c>
      <c r="AQ41" t="e">
        <f>AND(#REF!,"AAAAAD/z2io=")</f>
        <v>#REF!</v>
      </c>
      <c r="AR41" t="e">
        <f>AND(#REF!,"AAAAAD/z2is=")</f>
        <v>#REF!</v>
      </c>
      <c r="AS41" t="e">
        <f>AND(#REF!,"AAAAAD/z2iw=")</f>
        <v>#REF!</v>
      </c>
      <c r="AT41" t="e">
        <f>AND(#REF!,"AAAAAD/z2i0=")</f>
        <v>#REF!</v>
      </c>
      <c r="AU41" t="e">
        <f>AND(#REF!,"AAAAAD/z2i4=")</f>
        <v>#REF!</v>
      </c>
      <c r="AV41" t="e">
        <f>AND(#REF!,"AAAAAD/z2i8=")</f>
        <v>#REF!</v>
      </c>
      <c r="AW41" t="e">
        <f>AND(#REF!,"AAAAAD/z2jA=")</f>
        <v>#REF!</v>
      </c>
      <c r="AX41" t="e">
        <f>AND(#REF!,"AAAAAD/z2jE=")</f>
        <v>#REF!</v>
      </c>
      <c r="AY41" t="e">
        <f>AND(#REF!,"AAAAAD/z2jI=")</f>
        <v>#REF!</v>
      </c>
      <c r="AZ41" t="e">
        <f>AND(#REF!,"AAAAAD/z2jM=")</f>
        <v>#REF!</v>
      </c>
      <c r="BA41" t="e">
        <f>AND(#REF!,"AAAAAD/z2jQ=")</f>
        <v>#REF!</v>
      </c>
      <c r="BB41" t="e">
        <f>AND(#REF!,"AAAAAD/z2jU=")</f>
        <v>#REF!</v>
      </c>
      <c r="BC41" t="e">
        <f>AND(#REF!,"AAAAAD/z2jY=")</f>
        <v>#REF!</v>
      </c>
      <c r="BD41" t="e">
        <f>AND(#REF!,"AAAAAD/z2jc=")</f>
        <v>#REF!</v>
      </c>
      <c r="BE41" t="e">
        <f>AND(#REF!,"AAAAAD/z2jg=")</f>
        <v>#REF!</v>
      </c>
      <c r="BF41" t="e">
        <f>IF(#REF!,"AAAAAD/z2jk=",0)</f>
        <v>#REF!</v>
      </c>
      <c r="BG41" t="e">
        <f>AND(#REF!,"AAAAAD/z2jo=")</f>
        <v>#REF!</v>
      </c>
      <c r="BH41" t="e">
        <f>AND(#REF!,"AAAAAD/z2js=")</f>
        <v>#REF!</v>
      </c>
      <c r="BI41" t="e">
        <f>AND(#REF!,"AAAAAD/z2jw=")</f>
        <v>#REF!</v>
      </c>
      <c r="BJ41" t="e">
        <f>AND(#REF!,"AAAAAD/z2j0=")</f>
        <v>#REF!</v>
      </c>
      <c r="BK41" t="e">
        <f>AND(#REF!,"AAAAAD/z2j4=")</f>
        <v>#REF!</v>
      </c>
      <c r="BL41" t="e">
        <f>AND(#REF!,"AAAAAD/z2j8=")</f>
        <v>#REF!</v>
      </c>
      <c r="BM41" t="e">
        <f>AND(#REF!,"AAAAAD/z2kA=")</f>
        <v>#REF!</v>
      </c>
      <c r="BN41" t="e">
        <f>AND(#REF!,"AAAAAD/z2kE=")</f>
        <v>#REF!</v>
      </c>
      <c r="BO41" t="e">
        <f>AND(#REF!,"AAAAAD/z2kI=")</f>
        <v>#REF!</v>
      </c>
      <c r="BP41" t="e">
        <f>AND(#REF!,"AAAAAD/z2kM=")</f>
        <v>#REF!</v>
      </c>
      <c r="BQ41" t="e">
        <f>AND(#REF!,"AAAAAD/z2kQ=")</f>
        <v>#REF!</v>
      </c>
      <c r="BR41" t="e">
        <f>AND(#REF!,"AAAAAD/z2kU=")</f>
        <v>#REF!</v>
      </c>
      <c r="BS41" t="e">
        <f>AND(#REF!,"AAAAAD/z2kY=")</f>
        <v>#REF!</v>
      </c>
      <c r="BT41" t="e">
        <f>AND(#REF!,"AAAAAD/z2kc=")</f>
        <v>#REF!</v>
      </c>
      <c r="BU41" t="e">
        <f>AND(#REF!,"AAAAAD/z2kg=")</f>
        <v>#REF!</v>
      </c>
      <c r="BV41" t="e">
        <f>AND(#REF!,"AAAAAD/z2kk=")</f>
        <v>#REF!</v>
      </c>
      <c r="BW41" t="e">
        <f>AND(#REF!,"AAAAAD/z2ko=")</f>
        <v>#REF!</v>
      </c>
      <c r="BX41" t="e">
        <f>AND(#REF!,"AAAAAD/z2ks=")</f>
        <v>#REF!</v>
      </c>
      <c r="BY41" t="e">
        <f>AND(#REF!,"AAAAAD/z2kw=")</f>
        <v>#REF!</v>
      </c>
      <c r="BZ41" t="e">
        <f>AND(#REF!,"AAAAAD/z2k0=")</f>
        <v>#REF!</v>
      </c>
      <c r="CA41" t="e">
        <f>AND(#REF!,"AAAAAD/z2k4=")</f>
        <v>#REF!</v>
      </c>
      <c r="CB41" t="e">
        <f>IF(#REF!,"AAAAAD/z2k8=",0)</f>
        <v>#REF!</v>
      </c>
      <c r="CC41" t="e">
        <f>AND(#REF!,"AAAAAD/z2lA=")</f>
        <v>#REF!</v>
      </c>
      <c r="CD41" t="e">
        <f>AND(#REF!,"AAAAAD/z2lE=")</f>
        <v>#REF!</v>
      </c>
      <c r="CE41" t="e">
        <f>AND(#REF!,"AAAAAD/z2lI=")</f>
        <v>#REF!</v>
      </c>
      <c r="CF41" t="e">
        <f>AND(#REF!,"AAAAAD/z2lM=")</f>
        <v>#REF!</v>
      </c>
      <c r="CG41" t="e">
        <f>AND(#REF!,"AAAAAD/z2lQ=")</f>
        <v>#REF!</v>
      </c>
      <c r="CH41" t="e">
        <f>AND(#REF!,"AAAAAD/z2lU=")</f>
        <v>#REF!</v>
      </c>
      <c r="CI41" t="e">
        <f>AND(#REF!,"AAAAAD/z2lY=")</f>
        <v>#REF!</v>
      </c>
      <c r="CJ41" t="e">
        <f>AND(#REF!,"AAAAAD/z2lc=")</f>
        <v>#REF!</v>
      </c>
      <c r="CK41" t="e">
        <f>AND(#REF!,"AAAAAD/z2lg=")</f>
        <v>#REF!</v>
      </c>
      <c r="CL41" t="e">
        <f>AND(#REF!,"AAAAAD/z2lk=")</f>
        <v>#REF!</v>
      </c>
      <c r="CM41" t="e">
        <f>AND(#REF!,"AAAAAD/z2lo=")</f>
        <v>#REF!</v>
      </c>
      <c r="CN41" t="e">
        <f>AND(#REF!,"AAAAAD/z2ls=")</f>
        <v>#REF!</v>
      </c>
      <c r="CO41" t="e">
        <f>AND(#REF!,"AAAAAD/z2lw=")</f>
        <v>#REF!</v>
      </c>
      <c r="CP41" t="e">
        <f>AND(#REF!,"AAAAAD/z2l0=")</f>
        <v>#REF!</v>
      </c>
      <c r="CQ41" t="e">
        <f>AND(#REF!,"AAAAAD/z2l4=")</f>
        <v>#REF!</v>
      </c>
      <c r="CR41" t="e">
        <f>AND(#REF!,"AAAAAD/z2l8=")</f>
        <v>#REF!</v>
      </c>
      <c r="CS41" t="e">
        <f>AND(#REF!,"AAAAAD/z2mA=")</f>
        <v>#REF!</v>
      </c>
      <c r="CT41" t="e">
        <f>AND(#REF!,"AAAAAD/z2mE=")</f>
        <v>#REF!</v>
      </c>
      <c r="CU41" t="e">
        <f>AND(#REF!,"AAAAAD/z2mI=")</f>
        <v>#REF!</v>
      </c>
      <c r="CV41" t="e">
        <f>AND(#REF!,"AAAAAD/z2mM=")</f>
        <v>#REF!</v>
      </c>
      <c r="CW41" t="e">
        <f>AND(#REF!,"AAAAAD/z2mQ=")</f>
        <v>#REF!</v>
      </c>
      <c r="CX41" t="e">
        <f>IF(#REF!,"AAAAAD/z2mU=",0)</f>
        <v>#REF!</v>
      </c>
      <c r="CY41" t="e">
        <f>AND(#REF!,"AAAAAD/z2mY=")</f>
        <v>#REF!</v>
      </c>
      <c r="CZ41" t="e">
        <f>AND(#REF!,"AAAAAD/z2mc=")</f>
        <v>#REF!</v>
      </c>
      <c r="DA41" t="e">
        <f>AND(#REF!,"AAAAAD/z2mg=")</f>
        <v>#REF!</v>
      </c>
      <c r="DB41" t="e">
        <f>AND(#REF!,"AAAAAD/z2mk=")</f>
        <v>#REF!</v>
      </c>
      <c r="DC41" t="e">
        <f>AND(#REF!,"AAAAAD/z2mo=")</f>
        <v>#REF!</v>
      </c>
      <c r="DD41" t="e">
        <f>AND(#REF!,"AAAAAD/z2ms=")</f>
        <v>#REF!</v>
      </c>
      <c r="DE41" t="e">
        <f>AND(#REF!,"AAAAAD/z2mw=")</f>
        <v>#REF!</v>
      </c>
      <c r="DF41" t="e">
        <f>AND(#REF!,"AAAAAD/z2m0=")</f>
        <v>#REF!</v>
      </c>
      <c r="DG41" t="e">
        <f>AND(#REF!,"AAAAAD/z2m4=")</f>
        <v>#REF!</v>
      </c>
      <c r="DH41" t="e">
        <f>AND(#REF!,"AAAAAD/z2m8=")</f>
        <v>#REF!</v>
      </c>
      <c r="DI41" t="e">
        <f>AND(#REF!,"AAAAAD/z2nA=")</f>
        <v>#REF!</v>
      </c>
      <c r="DJ41" t="e">
        <f>AND(#REF!,"AAAAAD/z2nE=")</f>
        <v>#REF!</v>
      </c>
      <c r="DK41" t="e">
        <f>AND(#REF!,"AAAAAD/z2nI=")</f>
        <v>#REF!</v>
      </c>
      <c r="DL41" t="e">
        <f>AND(#REF!,"AAAAAD/z2nM=")</f>
        <v>#REF!</v>
      </c>
      <c r="DM41" t="e">
        <f>AND(#REF!,"AAAAAD/z2nQ=")</f>
        <v>#REF!</v>
      </c>
      <c r="DN41" t="e">
        <f>AND(#REF!,"AAAAAD/z2nU=")</f>
        <v>#REF!</v>
      </c>
      <c r="DO41" t="e">
        <f>AND(#REF!,"AAAAAD/z2nY=")</f>
        <v>#REF!</v>
      </c>
      <c r="DP41" t="e">
        <f>AND(#REF!,"AAAAAD/z2nc=")</f>
        <v>#REF!</v>
      </c>
      <c r="DQ41" t="e">
        <f>AND(#REF!,"AAAAAD/z2ng=")</f>
        <v>#REF!</v>
      </c>
      <c r="DR41" t="e">
        <f>AND(#REF!,"AAAAAD/z2nk=")</f>
        <v>#REF!</v>
      </c>
      <c r="DS41" t="e">
        <f>AND(#REF!,"AAAAAD/z2no=")</f>
        <v>#REF!</v>
      </c>
      <c r="DT41" t="e">
        <f>IF(#REF!,"AAAAAD/z2ns=",0)</f>
        <v>#REF!</v>
      </c>
      <c r="DU41" t="e">
        <f>AND(#REF!,"AAAAAD/z2nw=")</f>
        <v>#REF!</v>
      </c>
      <c r="DV41" t="e">
        <f>AND(#REF!,"AAAAAD/z2n0=")</f>
        <v>#REF!</v>
      </c>
      <c r="DW41" t="e">
        <f>AND(#REF!,"AAAAAD/z2n4=")</f>
        <v>#REF!</v>
      </c>
      <c r="DX41" t="e">
        <f>AND(#REF!,"AAAAAD/z2n8=")</f>
        <v>#REF!</v>
      </c>
      <c r="DY41" t="e">
        <f>AND(#REF!,"AAAAAD/z2oA=")</f>
        <v>#REF!</v>
      </c>
      <c r="DZ41" t="e">
        <f>AND(#REF!,"AAAAAD/z2oE=")</f>
        <v>#REF!</v>
      </c>
      <c r="EA41" t="e">
        <f>AND(#REF!,"AAAAAD/z2oI=")</f>
        <v>#REF!</v>
      </c>
      <c r="EB41" t="e">
        <f>AND(#REF!,"AAAAAD/z2oM=")</f>
        <v>#REF!</v>
      </c>
      <c r="EC41" t="e">
        <f>AND(#REF!,"AAAAAD/z2oQ=")</f>
        <v>#REF!</v>
      </c>
      <c r="ED41" t="e">
        <f>AND(#REF!,"AAAAAD/z2oU=")</f>
        <v>#REF!</v>
      </c>
      <c r="EE41" t="e">
        <f>AND(#REF!,"AAAAAD/z2oY=")</f>
        <v>#REF!</v>
      </c>
      <c r="EF41" t="e">
        <f>AND(#REF!,"AAAAAD/z2oc=")</f>
        <v>#REF!</v>
      </c>
      <c r="EG41" t="e">
        <f>AND(#REF!,"AAAAAD/z2og=")</f>
        <v>#REF!</v>
      </c>
      <c r="EH41" t="e">
        <f>AND(#REF!,"AAAAAD/z2ok=")</f>
        <v>#REF!</v>
      </c>
      <c r="EI41" t="e">
        <f>AND(#REF!,"AAAAAD/z2oo=")</f>
        <v>#REF!</v>
      </c>
      <c r="EJ41" t="e">
        <f>AND(#REF!,"AAAAAD/z2os=")</f>
        <v>#REF!</v>
      </c>
      <c r="EK41" t="e">
        <f>AND(#REF!,"AAAAAD/z2ow=")</f>
        <v>#REF!</v>
      </c>
      <c r="EL41" t="e">
        <f>AND(#REF!,"AAAAAD/z2o0=")</f>
        <v>#REF!</v>
      </c>
      <c r="EM41" t="e">
        <f>AND(#REF!,"AAAAAD/z2o4=")</f>
        <v>#REF!</v>
      </c>
      <c r="EN41" t="e">
        <f>AND(#REF!,"AAAAAD/z2o8=")</f>
        <v>#REF!</v>
      </c>
      <c r="EO41" t="e">
        <f>AND(#REF!,"AAAAAD/z2pA=")</f>
        <v>#REF!</v>
      </c>
      <c r="EP41" t="e">
        <f>IF(#REF!,"AAAAAD/z2pE=",0)</f>
        <v>#REF!</v>
      </c>
      <c r="EQ41" t="e">
        <f>AND(#REF!,"AAAAAD/z2pI=")</f>
        <v>#REF!</v>
      </c>
      <c r="ER41" t="e">
        <f>AND(#REF!,"AAAAAD/z2pM=")</f>
        <v>#REF!</v>
      </c>
      <c r="ES41" t="e">
        <f>AND(#REF!,"AAAAAD/z2pQ=")</f>
        <v>#REF!</v>
      </c>
      <c r="ET41" t="e">
        <f>AND(#REF!,"AAAAAD/z2pU=")</f>
        <v>#REF!</v>
      </c>
      <c r="EU41" t="e">
        <f>AND(#REF!,"AAAAAD/z2pY=")</f>
        <v>#REF!</v>
      </c>
      <c r="EV41" t="e">
        <f>AND(#REF!,"AAAAAD/z2pc=")</f>
        <v>#REF!</v>
      </c>
      <c r="EW41" t="e">
        <f>AND(#REF!,"AAAAAD/z2pg=")</f>
        <v>#REF!</v>
      </c>
      <c r="EX41" t="e">
        <f>AND(#REF!,"AAAAAD/z2pk=")</f>
        <v>#REF!</v>
      </c>
      <c r="EY41" t="e">
        <f>AND(#REF!,"AAAAAD/z2po=")</f>
        <v>#REF!</v>
      </c>
      <c r="EZ41" t="e">
        <f>AND(#REF!,"AAAAAD/z2ps=")</f>
        <v>#REF!</v>
      </c>
      <c r="FA41" t="e">
        <f>AND(#REF!,"AAAAAD/z2pw=")</f>
        <v>#REF!</v>
      </c>
      <c r="FB41" t="e">
        <f>AND(#REF!,"AAAAAD/z2p0=")</f>
        <v>#REF!</v>
      </c>
      <c r="FC41" t="e">
        <f>AND(#REF!,"AAAAAD/z2p4=")</f>
        <v>#REF!</v>
      </c>
      <c r="FD41" t="e">
        <f>AND(#REF!,"AAAAAD/z2p8=")</f>
        <v>#REF!</v>
      </c>
      <c r="FE41" t="e">
        <f>AND(#REF!,"AAAAAD/z2qA=")</f>
        <v>#REF!</v>
      </c>
      <c r="FF41" t="e">
        <f>AND(#REF!,"AAAAAD/z2qE=")</f>
        <v>#REF!</v>
      </c>
      <c r="FG41" t="e">
        <f>AND(#REF!,"AAAAAD/z2qI=")</f>
        <v>#REF!</v>
      </c>
      <c r="FH41" t="e">
        <f>AND(#REF!,"AAAAAD/z2qM=")</f>
        <v>#REF!</v>
      </c>
      <c r="FI41" t="e">
        <f>AND(#REF!,"AAAAAD/z2qQ=")</f>
        <v>#REF!</v>
      </c>
      <c r="FJ41" t="e">
        <f>AND(#REF!,"AAAAAD/z2qU=")</f>
        <v>#REF!</v>
      </c>
      <c r="FK41" t="e">
        <f>AND(#REF!,"AAAAAD/z2qY=")</f>
        <v>#REF!</v>
      </c>
      <c r="FL41" t="e">
        <f>IF(#REF!,"AAAAAD/z2qc=",0)</f>
        <v>#REF!</v>
      </c>
      <c r="FM41" t="e">
        <f>AND(#REF!,"AAAAAD/z2qg=")</f>
        <v>#REF!</v>
      </c>
      <c r="FN41" t="e">
        <f>AND(#REF!,"AAAAAD/z2qk=")</f>
        <v>#REF!</v>
      </c>
      <c r="FO41" t="e">
        <f>AND(#REF!,"AAAAAD/z2qo=")</f>
        <v>#REF!</v>
      </c>
      <c r="FP41" t="e">
        <f>AND(#REF!,"AAAAAD/z2qs=")</f>
        <v>#REF!</v>
      </c>
      <c r="FQ41" t="e">
        <f>AND(#REF!,"AAAAAD/z2qw=")</f>
        <v>#REF!</v>
      </c>
      <c r="FR41" t="e">
        <f>AND(#REF!,"AAAAAD/z2q0=")</f>
        <v>#REF!</v>
      </c>
      <c r="FS41" t="e">
        <f>AND(#REF!,"AAAAAD/z2q4=")</f>
        <v>#REF!</v>
      </c>
      <c r="FT41" t="e">
        <f>AND(#REF!,"AAAAAD/z2q8=")</f>
        <v>#REF!</v>
      </c>
      <c r="FU41" t="e">
        <f>AND(#REF!,"AAAAAD/z2rA=")</f>
        <v>#REF!</v>
      </c>
      <c r="FV41" t="e">
        <f>AND(#REF!,"AAAAAD/z2rE=")</f>
        <v>#REF!</v>
      </c>
      <c r="FW41" t="e">
        <f>AND(#REF!,"AAAAAD/z2rI=")</f>
        <v>#REF!</v>
      </c>
      <c r="FX41" t="e">
        <f>AND(#REF!,"AAAAAD/z2rM=")</f>
        <v>#REF!</v>
      </c>
      <c r="FY41" t="e">
        <f>AND(#REF!,"AAAAAD/z2rQ=")</f>
        <v>#REF!</v>
      </c>
      <c r="FZ41" t="e">
        <f>AND(#REF!,"AAAAAD/z2rU=")</f>
        <v>#REF!</v>
      </c>
      <c r="GA41" t="e">
        <f>AND(#REF!,"AAAAAD/z2rY=")</f>
        <v>#REF!</v>
      </c>
      <c r="GB41" t="e">
        <f>AND(#REF!,"AAAAAD/z2rc=")</f>
        <v>#REF!</v>
      </c>
      <c r="GC41" t="e">
        <f>AND(#REF!,"AAAAAD/z2rg=")</f>
        <v>#REF!</v>
      </c>
      <c r="GD41" t="e">
        <f>AND(#REF!,"AAAAAD/z2rk=")</f>
        <v>#REF!</v>
      </c>
      <c r="GE41" t="e">
        <f>AND(#REF!,"AAAAAD/z2ro=")</f>
        <v>#REF!</v>
      </c>
      <c r="GF41" t="e">
        <f>AND(#REF!,"AAAAAD/z2rs=")</f>
        <v>#REF!</v>
      </c>
      <c r="GG41" t="e">
        <f>AND(#REF!,"AAAAAD/z2rw=")</f>
        <v>#REF!</v>
      </c>
      <c r="GH41" t="e">
        <f>IF(#REF!,"AAAAAD/z2r0=",0)</f>
        <v>#REF!</v>
      </c>
      <c r="GI41" t="e">
        <f>AND(#REF!,"AAAAAD/z2r4=")</f>
        <v>#REF!</v>
      </c>
      <c r="GJ41" t="e">
        <f>AND(#REF!,"AAAAAD/z2r8=")</f>
        <v>#REF!</v>
      </c>
      <c r="GK41" t="e">
        <f>AND(#REF!,"AAAAAD/z2sA=")</f>
        <v>#REF!</v>
      </c>
      <c r="GL41" t="e">
        <f>AND(#REF!,"AAAAAD/z2sE=")</f>
        <v>#REF!</v>
      </c>
      <c r="GM41" t="e">
        <f>AND(#REF!,"AAAAAD/z2sI=")</f>
        <v>#REF!</v>
      </c>
      <c r="GN41" t="e">
        <f>AND(#REF!,"AAAAAD/z2sM=")</f>
        <v>#REF!</v>
      </c>
      <c r="GO41" t="e">
        <f>AND(#REF!,"AAAAAD/z2sQ=")</f>
        <v>#REF!</v>
      </c>
      <c r="GP41" t="e">
        <f>AND(#REF!,"AAAAAD/z2sU=")</f>
        <v>#REF!</v>
      </c>
      <c r="GQ41" t="e">
        <f>AND(#REF!,"AAAAAD/z2sY=")</f>
        <v>#REF!</v>
      </c>
      <c r="GR41" t="e">
        <f>AND(#REF!,"AAAAAD/z2sc=")</f>
        <v>#REF!</v>
      </c>
      <c r="GS41" t="e">
        <f>AND(#REF!,"AAAAAD/z2sg=")</f>
        <v>#REF!</v>
      </c>
      <c r="GT41" t="e">
        <f>AND(#REF!,"AAAAAD/z2sk=")</f>
        <v>#REF!</v>
      </c>
      <c r="GU41" t="e">
        <f>AND(#REF!,"AAAAAD/z2so=")</f>
        <v>#REF!</v>
      </c>
      <c r="GV41" t="e">
        <f>AND(#REF!,"AAAAAD/z2ss=")</f>
        <v>#REF!</v>
      </c>
      <c r="GW41" t="e">
        <f>AND(#REF!,"AAAAAD/z2sw=")</f>
        <v>#REF!</v>
      </c>
      <c r="GX41" t="e">
        <f>AND(#REF!,"AAAAAD/z2s0=")</f>
        <v>#REF!</v>
      </c>
      <c r="GY41" t="e">
        <f>AND(#REF!,"AAAAAD/z2s4=")</f>
        <v>#REF!</v>
      </c>
      <c r="GZ41" t="e">
        <f>AND(#REF!,"AAAAAD/z2s8=")</f>
        <v>#REF!</v>
      </c>
      <c r="HA41" t="e">
        <f>AND(#REF!,"AAAAAD/z2tA=")</f>
        <v>#REF!</v>
      </c>
      <c r="HB41" t="e">
        <f>AND(#REF!,"AAAAAD/z2tE=")</f>
        <v>#REF!</v>
      </c>
      <c r="HC41" t="e">
        <f>AND(#REF!,"AAAAAD/z2tI=")</f>
        <v>#REF!</v>
      </c>
      <c r="HD41" t="e">
        <f>IF(#REF!,"AAAAAD/z2tM=",0)</f>
        <v>#REF!</v>
      </c>
      <c r="HE41" t="e">
        <f>AND(#REF!,"AAAAAD/z2tQ=")</f>
        <v>#REF!</v>
      </c>
      <c r="HF41" t="e">
        <f>AND(#REF!,"AAAAAD/z2tU=")</f>
        <v>#REF!</v>
      </c>
      <c r="HG41" t="e">
        <f>AND(#REF!,"AAAAAD/z2tY=")</f>
        <v>#REF!</v>
      </c>
      <c r="HH41" t="e">
        <f>AND(#REF!,"AAAAAD/z2tc=")</f>
        <v>#REF!</v>
      </c>
      <c r="HI41" t="e">
        <f>AND(#REF!,"AAAAAD/z2tg=")</f>
        <v>#REF!</v>
      </c>
      <c r="HJ41" t="e">
        <f>AND(#REF!,"AAAAAD/z2tk=")</f>
        <v>#REF!</v>
      </c>
      <c r="HK41" t="e">
        <f>AND(#REF!,"AAAAAD/z2to=")</f>
        <v>#REF!</v>
      </c>
      <c r="HL41" t="e">
        <f>AND(#REF!,"AAAAAD/z2ts=")</f>
        <v>#REF!</v>
      </c>
      <c r="HM41" t="e">
        <f>AND(#REF!,"AAAAAD/z2tw=")</f>
        <v>#REF!</v>
      </c>
      <c r="HN41" t="e">
        <f>AND(#REF!,"AAAAAD/z2t0=")</f>
        <v>#REF!</v>
      </c>
      <c r="HO41" t="e">
        <f>AND(#REF!,"AAAAAD/z2t4=")</f>
        <v>#REF!</v>
      </c>
      <c r="HP41" t="e">
        <f>AND(#REF!,"AAAAAD/z2t8=")</f>
        <v>#REF!</v>
      </c>
      <c r="HQ41" t="e">
        <f>AND(#REF!,"AAAAAD/z2uA=")</f>
        <v>#REF!</v>
      </c>
      <c r="HR41" t="e">
        <f>AND(#REF!,"AAAAAD/z2uE=")</f>
        <v>#REF!</v>
      </c>
      <c r="HS41" t="e">
        <f>AND(#REF!,"AAAAAD/z2uI=")</f>
        <v>#REF!</v>
      </c>
      <c r="HT41" t="e">
        <f>AND(#REF!,"AAAAAD/z2uM=")</f>
        <v>#REF!</v>
      </c>
      <c r="HU41" t="e">
        <f>AND(#REF!,"AAAAAD/z2uQ=")</f>
        <v>#REF!</v>
      </c>
      <c r="HV41" t="e">
        <f>AND(#REF!,"AAAAAD/z2uU=")</f>
        <v>#REF!</v>
      </c>
      <c r="HW41" t="e">
        <f>AND(#REF!,"AAAAAD/z2uY=")</f>
        <v>#REF!</v>
      </c>
      <c r="HX41" t="e">
        <f>AND(#REF!,"AAAAAD/z2uc=")</f>
        <v>#REF!</v>
      </c>
      <c r="HY41" t="e">
        <f>AND(#REF!,"AAAAAD/z2ug=")</f>
        <v>#REF!</v>
      </c>
      <c r="HZ41" t="e">
        <f>IF(#REF!,"AAAAAD/z2uk=",0)</f>
        <v>#REF!</v>
      </c>
      <c r="IA41" t="e">
        <f>AND(#REF!,"AAAAAD/z2uo=")</f>
        <v>#REF!</v>
      </c>
      <c r="IB41" t="e">
        <f>AND(#REF!,"AAAAAD/z2us=")</f>
        <v>#REF!</v>
      </c>
      <c r="IC41" t="e">
        <f>AND(#REF!,"AAAAAD/z2uw=")</f>
        <v>#REF!</v>
      </c>
      <c r="ID41" t="e">
        <f>AND(#REF!,"AAAAAD/z2u0=")</f>
        <v>#REF!</v>
      </c>
      <c r="IE41" t="e">
        <f>AND(#REF!,"AAAAAD/z2u4=")</f>
        <v>#REF!</v>
      </c>
      <c r="IF41" t="e">
        <f>AND(#REF!,"AAAAAD/z2u8=")</f>
        <v>#REF!</v>
      </c>
      <c r="IG41" t="e">
        <f>AND(#REF!,"AAAAAD/z2vA=")</f>
        <v>#REF!</v>
      </c>
      <c r="IH41" t="e">
        <f>AND(#REF!,"AAAAAD/z2vE=")</f>
        <v>#REF!</v>
      </c>
      <c r="II41" t="e">
        <f>AND(#REF!,"AAAAAD/z2vI=")</f>
        <v>#REF!</v>
      </c>
      <c r="IJ41" t="e">
        <f>AND(#REF!,"AAAAAD/z2vM=")</f>
        <v>#REF!</v>
      </c>
      <c r="IK41" t="e">
        <f>AND(#REF!,"AAAAAD/z2vQ=")</f>
        <v>#REF!</v>
      </c>
      <c r="IL41" t="e">
        <f>AND(#REF!,"AAAAAD/z2vU=")</f>
        <v>#REF!</v>
      </c>
      <c r="IM41" t="e">
        <f>AND(#REF!,"AAAAAD/z2vY=")</f>
        <v>#REF!</v>
      </c>
      <c r="IN41" t="e">
        <f>AND(#REF!,"AAAAAD/z2vc=")</f>
        <v>#REF!</v>
      </c>
      <c r="IO41" t="e">
        <f>AND(#REF!,"AAAAAD/z2vg=")</f>
        <v>#REF!</v>
      </c>
      <c r="IP41" t="e">
        <f>AND(#REF!,"AAAAAD/z2vk=")</f>
        <v>#REF!</v>
      </c>
      <c r="IQ41" t="e">
        <f>AND(#REF!,"AAAAAD/z2vo=")</f>
        <v>#REF!</v>
      </c>
      <c r="IR41" t="e">
        <f>AND(#REF!,"AAAAAD/z2vs=")</f>
        <v>#REF!</v>
      </c>
      <c r="IS41" t="e">
        <f>AND(#REF!,"AAAAAD/z2vw=")</f>
        <v>#REF!</v>
      </c>
      <c r="IT41" t="e">
        <f>AND(#REF!,"AAAAAD/z2v0=")</f>
        <v>#REF!</v>
      </c>
      <c r="IU41" t="e">
        <f>AND(#REF!,"AAAAAD/z2v4=")</f>
        <v>#REF!</v>
      </c>
      <c r="IV41" t="e">
        <f>IF(#REF!,"AAAAAD/z2v8=",0)</f>
        <v>#REF!</v>
      </c>
    </row>
    <row r="42" spans="1:256">
      <c r="A42" t="e">
        <f>AND(#REF!,"AAAAAH7/twA=")</f>
        <v>#REF!</v>
      </c>
      <c r="B42" t="e">
        <f>AND(#REF!,"AAAAAH7/twE=")</f>
        <v>#REF!</v>
      </c>
      <c r="C42" t="e">
        <f>AND(#REF!,"AAAAAH7/twI=")</f>
        <v>#REF!</v>
      </c>
      <c r="D42" t="e">
        <f>AND(#REF!,"AAAAAH7/twM=")</f>
        <v>#REF!</v>
      </c>
      <c r="E42" t="e">
        <f>AND(#REF!,"AAAAAH7/twQ=")</f>
        <v>#REF!</v>
      </c>
      <c r="F42" t="e">
        <f>AND(#REF!,"AAAAAH7/twU=")</f>
        <v>#REF!</v>
      </c>
      <c r="G42" t="e">
        <f>AND(#REF!,"AAAAAH7/twY=")</f>
        <v>#REF!</v>
      </c>
      <c r="H42" t="e">
        <f>AND(#REF!,"AAAAAH7/twc=")</f>
        <v>#REF!</v>
      </c>
      <c r="I42" t="e">
        <f>AND(#REF!,"AAAAAH7/twg=")</f>
        <v>#REF!</v>
      </c>
      <c r="J42" t="e">
        <f>AND(#REF!,"AAAAAH7/twk=")</f>
        <v>#REF!</v>
      </c>
      <c r="K42" t="e">
        <f>AND(#REF!,"AAAAAH7/two=")</f>
        <v>#REF!</v>
      </c>
      <c r="L42" t="e">
        <f>AND(#REF!,"AAAAAH7/tws=")</f>
        <v>#REF!</v>
      </c>
      <c r="M42" t="e">
        <f>AND(#REF!,"AAAAAH7/tww=")</f>
        <v>#REF!</v>
      </c>
      <c r="N42" t="e">
        <f>AND(#REF!,"AAAAAH7/tw0=")</f>
        <v>#REF!</v>
      </c>
      <c r="O42" t="e">
        <f>AND(#REF!,"AAAAAH7/tw4=")</f>
        <v>#REF!</v>
      </c>
      <c r="P42" t="e">
        <f>AND(#REF!,"AAAAAH7/tw8=")</f>
        <v>#REF!</v>
      </c>
      <c r="Q42" t="e">
        <f>AND(#REF!,"AAAAAH7/txA=")</f>
        <v>#REF!</v>
      </c>
      <c r="R42" t="e">
        <f>AND(#REF!,"AAAAAH7/txE=")</f>
        <v>#REF!</v>
      </c>
      <c r="S42" t="e">
        <f>AND(#REF!,"AAAAAH7/txI=")</f>
        <v>#REF!</v>
      </c>
      <c r="T42" t="e">
        <f>AND(#REF!,"AAAAAH7/txM=")</f>
        <v>#REF!</v>
      </c>
      <c r="U42" t="e">
        <f>AND(#REF!,"AAAAAH7/txQ=")</f>
        <v>#REF!</v>
      </c>
      <c r="V42" t="e">
        <f>IF(#REF!,"AAAAAH7/txU=",0)</f>
        <v>#REF!</v>
      </c>
      <c r="W42" t="e">
        <f>AND(#REF!,"AAAAAH7/txY=")</f>
        <v>#REF!</v>
      </c>
      <c r="X42" t="e">
        <f>AND(#REF!,"AAAAAH7/txc=")</f>
        <v>#REF!</v>
      </c>
      <c r="Y42" t="e">
        <f>AND(#REF!,"AAAAAH7/txg=")</f>
        <v>#REF!</v>
      </c>
      <c r="Z42" t="e">
        <f>AND(#REF!,"AAAAAH7/txk=")</f>
        <v>#REF!</v>
      </c>
      <c r="AA42" t="e">
        <f>AND(#REF!,"AAAAAH7/txo=")</f>
        <v>#REF!</v>
      </c>
      <c r="AB42" t="e">
        <f>AND(#REF!,"AAAAAH7/txs=")</f>
        <v>#REF!</v>
      </c>
      <c r="AC42" t="e">
        <f>AND(#REF!,"AAAAAH7/txw=")</f>
        <v>#REF!</v>
      </c>
      <c r="AD42" t="e">
        <f>AND(#REF!,"AAAAAH7/tx0=")</f>
        <v>#REF!</v>
      </c>
      <c r="AE42" t="e">
        <f>AND(#REF!,"AAAAAH7/tx4=")</f>
        <v>#REF!</v>
      </c>
      <c r="AF42" t="e">
        <f>AND(#REF!,"AAAAAH7/tx8=")</f>
        <v>#REF!</v>
      </c>
      <c r="AG42" t="e">
        <f>AND(#REF!,"AAAAAH7/tyA=")</f>
        <v>#REF!</v>
      </c>
      <c r="AH42" t="e">
        <f>AND(#REF!,"AAAAAH7/tyE=")</f>
        <v>#REF!</v>
      </c>
      <c r="AI42" t="e">
        <f>AND(#REF!,"AAAAAH7/tyI=")</f>
        <v>#REF!</v>
      </c>
      <c r="AJ42" t="e">
        <f>AND(#REF!,"AAAAAH7/tyM=")</f>
        <v>#REF!</v>
      </c>
      <c r="AK42" t="e">
        <f>AND(#REF!,"AAAAAH7/tyQ=")</f>
        <v>#REF!</v>
      </c>
      <c r="AL42" t="e">
        <f>AND(#REF!,"AAAAAH7/tyU=")</f>
        <v>#REF!</v>
      </c>
      <c r="AM42" t="e">
        <f>AND(#REF!,"AAAAAH7/tyY=")</f>
        <v>#REF!</v>
      </c>
      <c r="AN42" t="e">
        <f>AND(#REF!,"AAAAAH7/tyc=")</f>
        <v>#REF!</v>
      </c>
      <c r="AO42" t="e">
        <f>AND(#REF!,"AAAAAH7/tyg=")</f>
        <v>#REF!</v>
      </c>
      <c r="AP42" t="e">
        <f>AND(#REF!,"AAAAAH7/tyk=")</f>
        <v>#REF!</v>
      </c>
      <c r="AQ42" t="e">
        <f>AND(#REF!,"AAAAAH7/tyo=")</f>
        <v>#REF!</v>
      </c>
      <c r="AR42" t="e">
        <f>IF(#REF!,"AAAAAH7/tys=",0)</f>
        <v>#REF!</v>
      </c>
      <c r="AS42" t="e">
        <f>AND(#REF!,"AAAAAH7/tyw=")</f>
        <v>#REF!</v>
      </c>
      <c r="AT42" t="e">
        <f>AND(#REF!,"AAAAAH7/ty0=")</f>
        <v>#REF!</v>
      </c>
      <c r="AU42" t="e">
        <f>AND(#REF!,"AAAAAH7/ty4=")</f>
        <v>#REF!</v>
      </c>
      <c r="AV42" t="e">
        <f>AND(#REF!,"AAAAAH7/ty8=")</f>
        <v>#REF!</v>
      </c>
      <c r="AW42" t="e">
        <f>AND(#REF!,"AAAAAH7/tzA=")</f>
        <v>#REF!</v>
      </c>
      <c r="AX42" t="e">
        <f>AND(#REF!,"AAAAAH7/tzE=")</f>
        <v>#REF!</v>
      </c>
      <c r="AY42" t="e">
        <f>AND(#REF!,"AAAAAH7/tzI=")</f>
        <v>#REF!</v>
      </c>
      <c r="AZ42" t="e">
        <f>AND(#REF!,"AAAAAH7/tzM=")</f>
        <v>#REF!</v>
      </c>
      <c r="BA42" t="e">
        <f>AND(#REF!,"AAAAAH7/tzQ=")</f>
        <v>#REF!</v>
      </c>
      <c r="BB42" t="e">
        <f>AND(#REF!,"AAAAAH7/tzU=")</f>
        <v>#REF!</v>
      </c>
      <c r="BC42" t="e">
        <f>AND(#REF!,"AAAAAH7/tzY=")</f>
        <v>#REF!</v>
      </c>
      <c r="BD42" t="e">
        <f>AND(#REF!,"AAAAAH7/tzc=")</f>
        <v>#REF!</v>
      </c>
      <c r="BE42" t="e">
        <f>AND(#REF!,"AAAAAH7/tzg=")</f>
        <v>#REF!</v>
      </c>
      <c r="BF42" t="e">
        <f>AND(#REF!,"AAAAAH7/tzk=")</f>
        <v>#REF!</v>
      </c>
      <c r="BG42" t="e">
        <f>AND(#REF!,"AAAAAH7/tzo=")</f>
        <v>#REF!</v>
      </c>
      <c r="BH42" t="e">
        <f>AND(#REF!,"AAAAAH7/tzs=")</f>
        <v>#REF!</v>
      </c>
      <c r="BI42" t="e">
        <f>AND(#REF!,"AAAAAH7/tzw=")</f>
        <v>#REF!</v>
      </c>
      <c r="BJ42" t="e">
        <f>AND(#REF!,"AAAAAH7/tz0=")</f>
        <v>#REF!</v>
      </c>
      <c r="BK42" t="e">
        <f>AND(#REF!,"AAAAAH7/tz4=")</f>
        <v>#REF!</v>
      </c>
      <c r="BL42" t="e">
        <f>AND(#REF!,"AAAAAH7/tz8=")</f>
        <v>#REF!</v>
      </c>
      <c r="BM42" t="e">
        <f>AND(#REF!,"AAAAAH7/t0A=")</f>
        <v>#REF!</v>
      </c>
      <c r="BN42" t="e">
        <f>IF(#REF!,"AAAAAH7/t0E=",0)</f>
        <v>#REF!</v>
      </c>
      <c r="BO42" t="e">
        <f>AND(#REF!,"AAAAAH7/t0I=")</f>
        <v>#REF!</v>
      </c>
      <c r="BP42" t="e">
        <f>AND(#REF!,"AAAAAH7/t0M=")</f>
        <v>#REF!</v>
      </c>
      <c r="BQ42" t="e">
        <f>AND(#REF!,"AAAAAH7/t0Q=")</f>
        <v>#REF!</v>
      </c>
      <c r="BR42" t="e">
        <f>AND(#REF!,"AAAAAH7/t0U=")</f>
        <v>#REF!</v>
      </c>
      <c r="BS42" t="e">
        <f>AND(#REF!,"AAAAAH7/t0Y=")</f>
        <v>#REF!</v>
      </c>
      <c r="BT42" t="e">
        <f>AND(#REF!,"AAAAAH7/t0c=")</f>
        <v>#REF!</v>
      </c>
      <c r="BU42" t="e">
        <f>AND(#REF!,"AAAAAH7/t0g=")</f>
        <v>#REF!</v>
      </c>
      <c r="BV42" t="e">
        <f>AND(#REF!,"AAAAAH7/t0k=")</f>
        <v>#REF!</v>
      </c>
      <c r="BW42" t="e">
        <f>AND(#REF!,"AAAAAH7/t0o=")</f>
        <v>#REF!</v>
      </c>
      <c r="BX42" t="e">
        <f>AND(#REF!,"AAAAAH7/t0s=")</f>
        <v>#REF!</v>
      </c>
      <c r="BY42" t="e">
        <f>AND(#REF!,"AAAAAH7/t0w=")</f>
        <v>#REF!</v>
      </c>
      <c r="BZ42" t="e">
        <f>AND(#REF!,"AAAAAH7/t00=")</f>
        <v>#REF!</v>
      </c>
      <c r="CA42" t="e">
        <f>AND(#REF!,"AAAAAH7/t04=")</f>
        <v>#REF!</v>
      </c>
      <c r="CB42" t="e">
        <f>AND(#REF!,"AAAAAH7/t08=")</f>
        <v>#REF!</v>
      </c>
      <c r="CC42" t="e">
        <f>AND(#REF!,"AAAAAH7/t1A=")</f>
        <v>#REF!</v>
      </c>
      <c r="CD42" t="e">
        <f>AND(#REF!,"AAAAAH7/t1E=")</f>
        <v>#REF!</v>
      </c>
      <c r="CE42" t="e">
        <f>AND(#REF!,"AAAAAH7/t1I=")</f>
        <v>#REF!</v>
      </c>
      <c r="CF42" t="e">
        <f>AND(#REF!,"AAAAAH7/t1M=")</f>
        <v>#REF!</v>
      </c>
      <c r="CG42" t="e">
        <f>AND(#REF!,"AAAAAH7/t1Q=")</f>
        <v>#REF!</v>
      </c>
      <c r="CH42" t="e">
        <f>AND(#REF!,"AAAAAH7/t1U=")</f>
        <v>#REF!</v>
      </c>
      <c r="CI42" t="e">
        <f>AND(#REF!,"AAAAAH7/t1Y=")</f>
        <v>#REF!</v>
      </c>
      <c r="CJ42" t="e">
        <f>IF(#REF!,"AAAAAH7/t1c=",0)</f>
        <v>#REF!</v>
      </c>
      <c r="CK42" t="e">
        <f>AND(#REF!,"AAAAAH7/t1g=")</f>
        <v>#REF!</v>
      </c>
      <c r="CL42" t="e">
        <f>AND(#REF!,"AAAAAH7/t1k=")</f>
        <v>#REF!</v>
      </c>
      <c r="CM42" t="e">
        <f>AND(#REF!,"AAAAAH7/t1o=")</f>
        <v>#REF!</v>
      </c>
      <c r="CN42" t="e">
        <f>AND(#REF!,"AAAAAH7/t1s=")</f>
        <v>#REF!</v>
      </c>
      <c r="CO42" t="e">
        <f>AND(#REF!,"AAAAAH7/t1w=")</f>
        <v>#REF!</v>
      </c>
      <c r="CP42" t="e">
        <f>AND(#REF!,"AAAAAH7/t10=")</f>
        <v>#REF!</v>
      </c>
      <c r="CQ42" t="e">
        <f>AND(#REF!,"AAAAAH7/t14=")</f>
        <v>#REF!</v>
      </c>
      <c r="CR42" t="e">
        <f>AND(#REF!,"AAAAAH7/t18=")</f>
        <v>#REF!</v>
      </c>
      <c r="CS42" t="e">
        <f>AND(#REF!,"AAAAAH7/t2A=")</f>
        <v>#REF!</v>
      </c>
      <c r="CT42" t="e">
        <f>AND(#REF!,"AAAAAH7/t2E=")</f>
        <v>#REF!</v>
      </c>
      <c r="CU42" t="e">
        <f>AND(#REF!,"AAAAAH7/t2I=")</f>
        <v>#REF!</v>
      </c>
      <c r="CV42" t="e">
        <f>AND(#REF!,"AAAAAH7/t2M=")</f>
        <v>#REF!</v>
      </c>
      <c r="CW42" t="e">
        <f>AND(#REF!,"AAAAAH7/t2Q=")</f>
        <v>#REF!</v>
      </c>
      <c r="CX42" t="e">
        <f>AND(#REF!,"AAAAAH7/t2U=")</f>
        <v>#REF!</v>
      </c>
      <c r="CY42" t="e">
        <f>AND(#REF!,"AAAAAH7/t2Y=")</f>
        <v>#REF!</v>
      </c>
      <c r="CZ42" t="e">
        <f>AND(#REF!,"AAAAAH7/t2c=")</f>
        <v>#REF!</v>
      </c>
      <c r="DA42" t="e">
        <f>AND(#REF!,"AAAAAH7/t2g=")</f>
        <v>#REF!</v>
      </c>
      <c r="DB42" t="e">
        <f>AND(#REF!,"AAAAAH7/t2k=")</f>
        <v>#REF!</v>
      </c>
      <c r="DC42" t="e">
        <f>AND(#REF!,"AAAAAH7/t2o=")</f>
        <v>#REF!</v>
      </c>
      <c r="DD42" t="e">
        <f>AND(#REF!,"AAAAAH7/t2s=")</f>
        <v>#REF!</v>
      </c>
      <c r="DE42" t="e">
        <f>AND(#REF!,"AAAAAH7/t2w=")</f>
        <v>#REF!</v>
      </c>
      <c r="DF42" t="e">
        <f>IF(#REF!,"AAAAAH7/t20=",0)</f>
        <v>#REF!</v>
      </c>
      <c r="DG42" t="e">
        <f>AND(#REF!,"AAAAAH7/t24=")</f>
        <v>#REF!</v>
      </c>
      <c r="DH42" t="e">
        <f>AND(#REF!,"AAAAAH7/t28=")</f>
        <v>#REF!</v>
      </c>
      <c r="DI42" t="e">
        <f>AND(#REF!,"AAAAAH7/t3A=")</f>
        <v>#REF!</v>
      </c>
      <c r="DJ42" t="e">
        <f>AND(#REF!,"AAAAAH7/t3E=")</f>
        <v>#REF!</v>
      </c>
      <c r="DK42" t="e">
        <f>AND(#REF!,"AAAAAH7/t3I=")</f>
        <v>#REF!</v>
      </c>
      <c r="DL42" t="e">
        <f>AND(#REF!,"AAAAAH7/t3M=")</f>
        <v>#REF!</v>
      </c>
      <c r="DM42" t="e">
        <f>AND(#REF!,"AAAAAH7/t3Q=")</f>
        <v>#REF!</v>
      </c>
      <c r="DN42" t="e">
        <f>AND(#REF!,"AAAAAH7/t3U=")</f>
        <v>#REF!</v>
      </c>
      <c r="DO42" t="e">
        <f>AND(#REF!,"AAAAAH7/t3Y=")</f>
        <v>#REF!</v>
      </c>
      <c r="DP42" t="e">
        <f>AND(#REF!,"AAAAAH7/t3c=")</f>
        <v>#REF!</v>
      </c>
      <c r="DQ42" t="e">
        <f>AND(#REF!,"AAAAAH7/t3g=")</f>
        <v>#REF!</v>
      </c>
      <c r="DR42" t="e">
        <f>AND(#REF!,"AAAAAH7/t3k=")</f>
        <v>#REF!</v>
      </c>
      <c r="DS42" t="e">
        <f>AND(#REF!,"AAAAAH7/t3o=")</f>
        <v>#REF!</v>
      </c>
      <c r="DT42" t="e">
        <f>AND(#REF!,"AAAAAH7/t3s=")</f>
        <v>#REF!</v>
      </c>
      <c r="DU42" t="e">
        <f>AND(#REF!,"AAAAAH7/t3w=")</f>
        <v>#REF!</v>
      </c>
      <c r="DV42" t="e">
        <f>AND(#REF!,"AAAAAH7/t30=")</f>
        <v>#REF!</v>
      </c>
      <c r="DW42" t="e">
        <f>AND(#REF!,"AAAAAH7/t34=")</f>
        <v>#REF!</v>
      </c>
      <c r="DX42" t="e">
        <f>AND(#REF!,"AAAAAH7/t38=")</f>
        <v>#REF!</v>
      </c>
      <c r="DY42" t="e">
        <f>AND(#REF!,"AAAAAH7/t4A=")</f>
        <v>#REF!</v>
      </c>
      <c r="DZ42" t="e">
        <f>AND(#REF!,"AAAAAH7/t4E=")</f>
        <v>#REF!</v>
      </c>
      <c r="EA42" t="e">
        <f>AND(#REF!,"AAAAAH7/t4I=")</f>
        <v>#REF!</v>
      </c>
      <c r="EB42" t="e">
        <f>IF(#REF!,"AAAAAH7/t4M=",0)</f>
        <v>#REF!</v>
      </c>
      <c r="EC42" t="e">
        <f>AND(#REF!,"AAAAAH7/t4Q=")</f>
        <v>#REF!</v>
      </c>
      <c r="ED42" t="e">
        <f>AND(#REF!,"AAAAAH7/t4U=")</f>
        <v>#REF!</v>
      </c>
      <c r="EE42" t="e">
        <f>AND(#REF!,"AAAAAH7/t4Y=")</f>
        <v>#REF!</v>
      </c>
      <c r="EF42" t="e">
        <f>AND(#REF!,"AAAAAH7/t4c=")</f>
        <v>#REF!</v>
      </c>
      <c r="EG42" t="e">
        <f>AND(#REF!,"AAAAAH7/t4g=")</f>
        <v>#REF!</v>
      </c>
      <c r="EH42" t="e">
        <f>AND(#REF!,"AAAAAH7/t4k=")</f>
        <v>#REF!</v>
      </c>
      <c r="EI42" t="e">
        <f>AND(#REF!,"AAAAAH7/t4o=")</f>
        <v>#REF!</v>
      </c>
      <c r="EJ42" t="e">
        <f>AND(#REF!,"AAAAAH7/t4s=")</f>
        <v>#REF!</v>
      </c>
      <c r="EK42" t="e">
        <f>AND(#REF!,"AAAAAH7/t4w=")</f>
        <v>#REF!</v>
      </c>
      <c r="EL42" t="e">
        <f>AND(#REF!,"AAAAAH7/t40=")</f>
        <v>#REF!</v>
      </c>
      <c r="EM42" t="e">
        <f>AND(#REF!,"AAAAAH7/t44=")</f>
        <v>#REF!</v>
      </c>
      <c r="EN42" t="e">
        <f>AND(#REF!,"AAAAAH7/t48=")</f>
        <v>#REF!</v>
      </c>
      <c r="EO42" t="e">
        <f>AND(#REF!,"AAAAAH7/t5A=")</f>
        <v>#REF!</v>
      </c>
      <c r="EP42" t="e">
        <f>AND(#REF!,"AAAAAH7/t5E=")</f>
        <v>#REF!</v>
      </c>
      <c r="EQ42" t="e">
        <f>AND(#REF!,"AAAAAH7/t5I=")</f>
        <v>#REF!</v>
      </c>
      <c r="ER42" t="e">
        <f>AND(#REF!,"AAAAAH7/t5M=")</f>
        <v>#REF!</v>
      </c>
      <c r="ES42" t="e">
        <f>AND(#REF!,"AAAAAH7/t5Q=")</f>
        <v>#REF!</v>
      </c>
      <c r="ET42" t="e">
        <f>AND(#REF!,"AAAAAH7/t5U=")</f>
        <v>#REF!</v>
      </c>
      <c r="EU42" t="e">
        <f>AND(#REF!,"AAAAAH7/t5Y=")</f>
        <v>#REF!</v>
      </c>
      <c r="EV42" t="e">
        <f>AND(#REF!,"AAAAAH7/t5c=")</f>
        <v>#REF!</v>
      </c>
      <c r="EW42" t="e">
        <f>AND(#REF!,"AAAAAH7/t5g=")</f>
        <v>#REF!</v>
      </c>
      <c r="EX42" t="e">
        <f>IF(#REF!,"AAAAAH7/t5k=",0)</f>
        <v>#REF!</v>
      </c>
      <c r="EY42" t="e">
        <f>AND(#REF!,"AAAAAH7/t5o=")</f>
        <v>#REF!</v>
      </c>
      <c r="EZ42" t="e">
        <f>AND(#REF!,"AAAAAH7/t5s=")</f>
        <v>#REF!</v>
      </c>
      <c r="FA42" t="e">
        <f>AND(#REF!,"AAAAAH7/t5w=")</f>
        <v>#REF!</v>
      </c>
      <c r="FB42" t="e">
        <f>AND(#REF!,"AAAAAH7/t50=")</f>
        <v>#REF!</v>
      </c>
      <c r="FC42" t="e">
        <f>AND(#REF!,"AAAAAH7/t54=")</f>
        <v>#REF!</v>
      </c>
      <c r="FD42" t="e">
        <f>AND(#REF!,"AAAAAH7/t58=")</f>
        <v>#REF!</v>
      </c>
      <c r="FE42" t="e">
        <f>AND(#REF!,"AAAAAH7/t6A=")</f>
        <v>#REF!</v>
      </c>
      <c r="FF42" t="e">
        <f>AND(#REF!,"AAAAAH7/t6E=")</f>
        <v>#REF!</v>
      </c>
      <c r="FG42" t="e">
        <f>AND(#REF!,"AAAAAH7/t6I=")</f>
        <v>#REF!</v>
      </c>
      <c r="FH42" t="e">
        <f>AND(#REF!,"AAAAAH7/t6M=")</f>
        <v>#REF!</v>
      </c>
      <c r="FI42" t="e">
        <f>AND(#REF!,"AAAAAH7/t6Q=")</f>
        <v>#REF!</v>
      </c>
      <c r="FJ42" t="e">
        <f>AND(#REF!,"AAAAAH7/t6U=")</f>
        <v>#REF!</v>
      </c>
      <c r="FK42" t="e">
        <f>AND(#REF!,"AAAAAH7/t6Y=")</f>
        <v>#REF!</v>
      </c>
      <c r="FL42" t="e">
        <f>AND(#REF!,"AAAAAH7/t6c=")</f>
        <v>#REF!</v>
      </c>
      <c r="FM42" t="e">
        <f>AND(#REF!,"AAAAAH7/t6g=")</f>
        <v>#REF!</v>
      </c>
      <c r="FN42" t="e">
        <f>AND(#REF!,"AAAAAH7/t6k=")</f>
        <v>#REF!</v>
      </c>
      <c r="FO42" t="e">
        <f>AND(#REF!,"AAAAAH7/t6o=")</f>
        <v>#REF!</v>
      </c>
      <c r="FP42" t="e">
        <f>AND(#REF!,"AAAAAH7/t6s=")</f>
        <v>#REF!</v>
      </c>
      <c r="FQ42" t="e">
        <f>AND(#REF!,"AAAAAH7/t6w=")</f>
        <v>#REF!</v>
      </c>
      <c r="FR42" t="e">
        <f>AND(#REF!,"AAAAAH7/t60=")</f>
        <v>#REF!</v>
      </c>
      <c r="FS42" t="e">
        <f>AND(#REF!,"AAAAAH7/t64=")</f>
        <v>#REF!</v>
      </c>
      <c r="FT42" t="e">
        <f>IF(#REF!,"AAAAAH7/t68=",0)</f>
        <v>#REF!</v>
      </c>
      <c r="FU42" t="e">
        <f>AND(#REF!,"AAAAAH7/t7A=")</f>
        <v>#REF!</v>
      </c>
      <c r="FV42" t="e">
        <f>AND(#REF!,"AAAAAH7/t7E=")</f>
        <v>#REF!</v>
      </c>
      <c r="FW42" t="e">
        <f>AND(#REF!,"AAAAAH7/t7I=")</f>
        <v>#REF!</v>
      </c>
      <c r="FX42" t="e">
        <f>AND(#REF!,"AAAAAH7/t7M=")</f>
        <v>#REF!</v>
      </c>
      <c r="FY42" t="e">
        <f>AND(#REF!,"AAAAAH7/t7Q=")</f>
        <v>#REF!</v>
      </c>
      <c r="FZ42" t="e">
        <f>AND(#REF!,"AAAAAH7/t7U=")</f>
        <v>#REF!</v>
      </c>
      <c r="GA42" t="e">
        <f>AND(#REF!,"AAAAAH7/t7Y=")</f>
        <v>#REF!</v>
      </c>
      <c r="GB42" t="e">
        <f>AND(#REF!,"AAAAAH7/t7c=")</f>
        <v>#REF!</v>
      </c>
      <c r="GC42" t="e">
        <f>AND(#REF!,"AAAAAH7/t7g=")</f>
        <v>#REF!</v>
      </c>
      <c r="GD42" t="e">
        <f>AND(#REF!,"AAAAAH7/t7k=")</f>
        <v>#REF!</v>
      </c>
      <c r="GE42" t="e">
        <f>AND(#REF!,"AAAAAH7/t7o=")</f>
        <v>#REF!</v>
      </c>
      <c r="GF42" t="e">
        <f>AND(#REF!,"AAAAAH7/t7s=")</f>
        <v>#REF!</v>
      </c>
      <c r="GG42" t="e">
        <f>AND(#REF!,"AAAAAH7/t7w=")</f>
        <v>#REF!</v>
      </c>
      <c r="GH42" t="e">
        <f>AND(#REF!,"AAAAAH7/t70=")</f>
        <v>#REF!</v>
      </c>
      <c r="GI42" t="e">
        <f>AND(#REF!,"AAAAAH7/t74=")</f>
        <v>#REF!</v>
      </c>
      <c r="GJ42" t="e">
        <f>AND(#REF!,"AAAAAH7/t78=")</f>
        <v>#REF!</v>
      </c>
      <c r="GK42" t="e">
        <f>AND(#REF!,"AAAAAH7/t8A=")</f>
        <v>#REF!</v>
      </c>
      <c r="GL42" t="e">
        <f>AND(#REF!,"AAAAAH7/t8E=")</f>
        <v>#REF!</v>
      </c>
      <c r="GM42" t="e">
        <f>AND(#REF!,"AAAAAH7/t8I=")</f>
        <v>#REF!</v>
      </c>
      <c r="GN42" t="e">
        <f>AND(#REF!,"AAAAAH7/t8M=")</f>
        <v>#REF!</v>
      </c>
      <c r="GO42" t="e">
        <f>AND(#REF!,"AAAAAH7/t8Q=")</f>
        <v>#REF!</v>
      </c>
      <c r="GP42" t="e">
        <f>IF(#REF!,"AAAAAH7/t8U=",0)</f>
        <v>#REF!</v>
      </c>
      <c r="GQ42" t="e">
        <f>AND(#REF!,"AAAAAH7/t8Y=")</f>
        <v>#REF!</v>
      </c>
      <c r="GR42" t="e">
        <f>AND(#REF!,"AAAAAH7/t8c=")</f>
        <v>#REF!</v>
      </c>
      <c r="GS42" t="e">
        <f>AND(#REF!,"AAAAAH7/t8g=")</f>
        <v>#REF!</v>
      </c>
      <c r="GT42" t="e">
        <f>AND(#REF!,"AAAAAH7/t8k=")</f>
        <v>#REF!</v>
      </c>
      <c r="GU42" t="e">
        <f>AND(#REF!,"AAAAAH7/t8o=")</f>
        <v>#REF!</v>
      </c>
      <c r="GV42" t="e">
        <f>AND(#REF!,"AAAAAH7/t8s=")</f>
        <v>#REF!</v>
      </c>
      <c r="GW42" t="e">
        <f>AND(#REF!,"AAAAAH7/t8w=")</f>
        <v>#REF!</v>
      </c>
      <c r="GX42" t="e">
        <f>AND(#REF!,"AAAAAH7/t80=")</f>
        <v>#REF!</v>
      </c>
      <c r="GY42" t="e">
        <f>AND(#REF!,"AAAAAH7/t84=")</f>
        <v>#REF!</v>
      </c>
      <c r="GZ42" t="e">
        <f>AND(#REF!,"AAAAAH7/t88=")</f>
        <v>#REF!</v>
      </c>
      <c r="HA42" t="e">
        <f>AND(#REF!,"AAAAAH7/t9A=")</f>
        <v>#REF!</v>
      </c>
      <c r="HB42" t="e">
        <f>AND(#REF!,"AAAAAH7/t9E=")</f>
        <v>#REF!</v>
      </c>
      <c r="HC42" t="e">
        <f>AND(#REF!,"AAAAAH7/t9I=")</f>
        <v>#REF!</v>
      </c>
      <c r="HD42" t="e">
        <f>AND(#REF!,"AAAAAH7/t9M=")</f>
        <v>#REF!</v>
      </c>
      <c r="HE42" t="e">
        <f>AND(#REF!,"AAAAAH7/t9Q=")</f>
        <v>#REF!</v>
      </c>
      <c r="HF42" t="e">
        <f>AND(#REF!,"AAAAAH7/t9U=")</f>
        <v>#REF!</v>
      </c>
      <c r="HG42" t="e">
        <f>AND(#REF!,"AAAAAH7/t9Y=")</f>
        <v>#REF!</v>
      </c>
      <c r="HH42" t="e">
        <f>AND(#REF!,"AAAAAH7/t9c=")</f>
        <v>#REF!</v>
      </c>
      <c r="HI42" t="e">
        <f>AND(#REF!,"AAAAAH7/t9g=")</f>
        <v>#REF!</v>
      </c>
      <c r="HJ42" t="e">
        <f>AND(#REF!,"AAAAAH7/t9k=")</f>
        <v>#REF!</v>
      </c>
      <c r="HK42" t="e">
        <f>AND(#REF!,"AAAAAH7/t9o=")</f>
        <v>#REF!</v>
      </c>
      <c r="HL42" t="e">
        <f>IF(#REF!,"AAAAAH7/t9s=",0)</f>
        <v>#REF!</v>
      </c>
      <c r="HM42" t="e">
        <f>IF(#REF!,"AAAAAH7/t9w=",0)</f>
        <v>#REF!</v>
      </c>
      <c r="HN42" t="e">
        <f>IF(#REF!,"AAAAAH7/t90=",0)</f>
        <v>#REF!</v>
      </c>
      <c r="HO42" t="e">
        <f>IF(#REF!,"AAAAAH7/t94=",0)</f>
        <v>#REF!</v>
      </c>
      <c r="HP42" t="e">
        <f>IF(#REF!,"AAAAAH7/t98=",0)</f>
        <v>#REF!</v>
      </c>
      <c r="HQ42" t="e">
        <f>IF(#REF!,"AAAAAH7/t+A=",0)</f>
        <v>#REF!</v>
      </c>
      <c r="HR42" t="e">
        <f>IF(#REF!,"AAAAAH7/t+E=",0)</f>
        <v>#REF!</v>
      </c>
      <c r="HS42" t="e">
        <f>IF(#REF!,"AAAAAH7/t+I=",0)</f>
        <v>#REF!</v>
      </c>
      <c r="HT42" t="e">
        <f>IF(#REF!,"AAAAAH7/t+M=",0)</f>
        <v>#REF!</v>
      </c>
      <c r="HU42" t="e">
        <f>IF(#REF!,"AAAAAH7/t+Q=",0)</f>
        <v>#REF!</v>
      </c>
      <c r="HV42" t="e">
        <f>IF(#REF!,"AAAAAH7/t+U=",0)</f>
        <v>#REF!</v>
      </c>
      <c r="HW42" t="e">
        <f>IF(#REF!,"AAAAAH7/t+Y=",0)</f>
        <v>#REF!</v>
      </c>
      <c r="HX42" t="e">
        <f>IF(#REF!,"AAAAAH7/t+c=",0)</f>
        <v>#REF!</v>
      </c>
      <c r="HY42" t="e">
        <f>IF(#REF!,"AAAAAH7/t+g=",0)</f>
        <v>#REF!</v>
      </c>
      <c r="HZ42" t="e">
        <f>IF(#REF!,"AAAAAH7/t+k=",0)</f>
        <v>#REF!</v>
      </c>
      <c r="IA42" t="e">
        <f>IF(#REF!,"AAAAAH7/t+o=",0)</f>
        <v>#REF!</v>
      </c>
      <c r="IB42" t="e">
        <f>IF(#REF!,"AAAAAH7/t+s=",0)</f>
        <v>#REF!</v>
      </c>
      <c r="IC42" t="e">
        <f>IF(#REF!,"AAAAAH7/t+w=",0)</f>
        <v>#REF!</v>
      </c>
      <c r="ID42" t="e">
        <f>IF(#REF!,"AAAAAH7/t+0=",0)</f>
        <v>#REF!</v>
      </c>
      <c r="IE42" t="e">
        <f>IF(#REF!,"AAAAAH7/t+4=",0)</f>
        <v>#REF!</v>
      </c>
      <c r="IF42" t="e">
        <f>IF(#REF!,"AAAAAH7/t+8=",0)</f>
        <v>#REF!</v>
      </c>
      <c r="IG42" t="e">
        <f>IF(#REF!,"AAAAAH7/t/A=",0)</f>
        <v>#REF!</v>
      </c>
      <c r="IH42" t="e">
        <f>IF(#REF!,"AAAAAH7/t/E=",0)</f>
        <v>#REF!</v>
      </c>
      <c r="II42" t="e">
        <f>AND(#REF!,"AAAAAH7/t/I=")</f>
        <v>#REF!</v>
      </c>
      <c r="IJ42" t="e">
        <f>AND(#REF!,"AAAAAH7/t/M=")</f>
        <v>#REF!</v>
      </c>
      <c r="IK42" t="e">
        <f>AND(#REF!,"AAAAAH7/t/Q=")</f>
        <v>#REF!</v>
      </c>
      <c r="IL42" t="e">
        <f>AND(#REF!,"AAAAAH7/t/U=")</f>
        <v>#REF!</v>
      </c>
      <c r="IM42" t="e">
        <f>AND(#REF!,"AAAAAH7/t/Y=")</f>
        <v>#REF!</v>
      </c>
      <c r="IN42" t="e">
        <f>AND(#REF!,"AAAAAH7/t/c=")</f>
        <v>#REF!</v>
      </c>
      <c r="IO42" t="e">
        <f>AND(#REF!,"AAAAAH7/t/g=")</f>
        <v>#REF!</v>
      </c>
      <c r="IP42" t="e">
        <f>AND(#REF!,"AAAAAH7/t/k=")</f>
        <v>#REF!</v>
      </c>
      <c r="IQ42" t="e">
        <f>AND(#REF!,"AAAAAH7/t/o=")</f>
        <v>#REF!</v>
      </c>
      <c r="IR42" t="e">
        <f>AND(#REF!,"AAAAAH7/t/s=")</f>
        <v>#REF!</v>
      </c>
      <c r="IS42" t="e">
        <f>AND(#REF!,"AAAAAH7/t/w=")</f>
        <v>#REF!</v>
      </c>
      <c r="IT42" t="e">
        <f>AND(#REF!,"AAAAAH7/t/0=")</f>
        <v>#REF!</v>
      </c>
      <c r="IU42" t="e">
        <f>AND(#REF!,"AAAAAH7/t/4=")</f>
        <v>#REF!</v>
      </c>
      <c r="IV42" t="e">
        <f>AND(#REF!,"AAAAAH7/t/8=")</f>
        <v>#REF!</v>
      </c>
    </row>
    <row r="43" spans="1:256">
      <c r="A43" t="e">
        <f>AND(#REF!,"AAAAAH7+1wA=")</f>
        <v>#REF!</v>
      </c>
      <c r="B43" t="e">
        <f>IF(#REF!,"AAAAAH7+1wE=",0)</f>
        <v>#REF!</v>
      </c>
      <c r="C43" t="e">
        <f>AND(#REF!,"AAAAAH7+1wI=")</f>
        <v>#REF!</v>
      </c>
      <c r="D43" t="e">
        <f>AND(#REF!,"AAAAAH7+1wM=")</f>
        <v>#REF!</v>
      </c>
      <c r="E43" t="e">
        <f>AND(#REF!,"AAAAAH7+1wQ=")</f>
        <v>#REF!</v>
      </c>
      <c r="F43" t="e">
        <f>AND(#REF!,"AAAAAH7+1wU=")</f>
        <v>#REF!</v>
      </c>
      <c r="G43" t="e">
        <f>AND(#REF!,"AAAAAH7+1wY=")</f>
        <v>#REF!</v>
      </c>
      <c r="H43" t="e">
        <f>AND(#REF!,"AAAAAH7+1wc=")</f>
        <v>#REF!</v>
      </c>
      <c r="I43" t="e">
        <f>AND(#REF!,"AAAAAH7+1wg=")</f>
        <v>#REF!</v>
      </c>
      <c r="J43" t="e">
        <f>AND(#REF!,"AAAAAH7+1wk=")</f>
        <v>#REF!</v>
      </c>
      <c r="K43" t="e">
        <f>AND(#REF!,"AAAAAH7+1wo=")</f>
        <v>#REF!</v>
      </c>
      <c r="L43" t="e">
        <f>AND(#REF!,"AAAAAH7+1ws=")</f>
        <v>#REF!</v>
      </c>
      <c r="M43" t="e">
        <f>AND(#REF!,"AAAAAH7+1ww=")</f>
        <v>#REF!</v>
      </c>
      <c r="N43" t="e">
        <f>AND(#REF!,"AAAAAH7+1w0=")</f>
        <v>#REF!</v>
      </c>
      <c r="O43" t="e">
        <f>AND(#REF!,"AAAAAH7+1w4=")</f>
        <v>#REF!</v>
      </c>
      <c r="P43" t="e">
        <f>AND(#REF!,"AAAAAH7+1w8=")</f>
        <v>#REF!</v>
      </c>
      <c r="Q43" t="e">
        <f>AND(#REF!,"AAAAAH7+1xA=")</f>
        <v>#REF!</v>
      </c>
      <c r="R43" t="e">
        <f>IF(#REF!,"AAAAAH7+1xE=",0)</f>
        <v>#REF!</v>
      </c>
      <c r="S43" t="e">
        <f>AND(#REF!,"AAAAAH7+1xI=")</f>
        <v>#REF!</v>
      </c>
      <c r="T43" t="e">
        <f>AND(#REF!,"AAAAAH7+1xM=")</f>
        <v>#REF!</v>
      </c>
      <c r="U43" t="e">
        <f>AND(#REF!,"AAAAAH7+1xQ=")</f>
        <v>#REF!</v>
      </c>
      <c r="V43" t="e">
        <f>AND(#REF!,"AAAAAH7+1xU=")</f>
        <v>#REF!</v>
      </c>
      <c r="W43" t="e">
        <f>AND(#REF!,"AAAAAH7+1xY=")</f>
        <v>#REF!</v>
      </c>
      <c r="X43" t="e">
        <f>AND(#REF!,"AAAAAH7+1xc=")</f>
        <v>#REF!</v>
      </c>
      <c r="Y43" t="e">
        <f>AND(#REF!,"AAAAAH7+1xg=")</f>
        <v>#REF!</v>
      </c>
      <c r="Z43" t="e">
        <f>AND(#REF!,"AAAAAH7+1xk=")</f>
        <v>#REF!</v>
      </c>
      <c r="AA43" t="e">
        <f>AND(#REF!,"AAAAAH7+1xo=")</f>
        <v>#REF!</v>
      </c>
      <c r="AB43" t="e">
        <f>AND(#REF!,"AAAAAH7+1xs=")</f>
        <v>#REF!</v>
      </c>
      <c r="AC43" t="e">
        <f>AND(#REF!,"AAAAAH7+1xw=")</f>
        <v>#REF!</v>
      </c>
      <c r="AD43" t="e">
        <f>AND(#REF!,"AAAAAH7+1x0=")</f>
        <v>#REF!</v>
      </c>
      <c r="AE43" t="e">
        <f>AND(#REF!,"AAAAAH7+1x4=")</f>
        <v>#REF!</v>
      </c>
      <c r="AF43" t="e">
        <f>AND(#REF!,"AAAAAH7+1x8=")</f>
        <v>#REF!</v>
      </c>
      <c r="AG43" t="e">
        <f>AND(#REF!,"AAAAAH7+1yA=")</f>
        <v>#REF!</v>
      </c>
      <c r="AH43" t="e">
        <f>IF(#REF!,"AAAAAH7+1yE=",0)</f>
        <v>#REF!</v>
      </c>
      <c r="AI43" t="e">
        <f>AND(#REF!,"AAAAAH7+1yI=")</f>
        <v>#REF!</v>
      </c>
      <c r="AJ43" t="e">
        <f>AND(#REF!,"AAAAAH7+1yM=")</f>
        <v>#REF!</v>
      </c>
      <c r="AK43" t="e">
        <f>AND(#REF!,"AAAAAH7+1yQ=")</f>
        <v>#REF!</v>
      </c>
      <c r="AL43" t="e">
        <f>AND(#REF!,"AAAAAH7+1yU=")</f>
        <v>#REF!</v>
      </c>
      <c r="AM43" t="e">
        <f>AND(#REF!,"AAAAAH7+1yY=")</f>
        <v>#REF!</v>
      </c>
      <c r="AN43" t="e">
        <f>AND(#REF!,"AAAAAH7+1yc=")</f>
        <v>#REF!</v>
      </c>
      <c r="AO43" t="e">
        <f>AND(#REF!,"AAAAAH7+1yg=")</f>
        <v>#REF!</v>
      </c>
      <c r="AP43" t="e">
        <f>AND(#REF!,"AAAAAH7+1yk=")</f>
        <v>#REF!</v>
      </c>
      <c r="AQ43" t="e">
        <f>AND(#REF!,"AAAAAH7+1yo=")</f>
        <v>#REF!</v>
      </c>
      <c r="AR43" t="e">
        <f>AND(#REF!,"AAAAAH7+1ys=")</f>
        <v>#REF!</v>
      </c>
      <c r="AS43" t="e">
        <f>AND(#REF!,"AAAAAH7+1yw=")</f>
        <v>#REF!</v>
      </c>
      <c r="AT43" t="e">
        <f>AND(#REF!,"AAAAAH7+1y0=")</f>
        <v>#REF!</v>
      </c>
      <c r="AU43" t="e">
        <f>AND(#REF!,"AAAAAH7+1y4=")</f>
        <v>#REF!</v>
      </c>
      <c r="AV43" t="e">
        <f>AND(#REF!,"AAAAAH7+1y8=")</f>
        <v>#REF!</v>
      </c>
      <c r="AW43" t="e">
        <f>AND(#REF!,"AAAAAH7+1zA=")</f>
        <v>#REF!</v>
      </c>
      <c r="AX43" t="e">
        <f>IF(#REF!,"AAAAAH7+1zE=",0)</f>
        <v>#REF!</v>
      </c>
      <c r="AY43" t="e">
        <f>AND(#REF!,"AAAAAH7+1zI=")</f>
        <v>#REF!</v>
      </c>
      <c r="AZ43" t="e">
        <f>AND(#REF!,"AAAAAH7+1zM=")</f>
        <v>#REF!</v>
      </c>
      <c r="BA43" t="e">
        <f>AND(#REF!,"AAAAAH7+1zQ=")</f>
        <v>#REF!</v>
      </c>
      <c r="BB43" t="e">
        <f>AND(#REF!,"AAAAAH7+1zU=")</f>
        <v>#REF!</v>
      </c>
      <c r="BC43" t="e">
        <f>AND(#REF!,"AAAAAH7+1zY=")</f>
        <v>#REF!</v>
      </c>
      <c r="BD43" t="e">
        <f>AND(#REF!,"AAAAAH7+1zc=")</f>
        <v>#REF!</v>
      </c>
      <c r="BE43" t="e">
        <f>AND(#REF!,"AAAAAH7+1zg=")</f>
        <v>#REF!</v>
      </c>
      <c r="BF43" t="e">
        <f>AND(#REF!,"AAAAAH7+1zk=")</f>
        <v>#REF!</v>
      </c>
      <c r="BG43" t="e">
        <f>AND(#REF!,"AAAAAH7+1zo=")</f>
        <v>#REF!</v>
      </c>
      <c r="BH43" t="e">
        <f>AND(#REF!,"AAAAAH7+1zs=")</f>
        <v>#REF!</v>
      </c>
      <c r="BI43" t="e">
        <f>AND(#REF!,"AAAAAH7+1zw=")</f>
        <v>#REF!</v>
      </c>
      <c r="BJ43" t="e">
        <f>AND(#REF!,"AAAAAH7+1z0=")</f>
        <v>#REF!</v>
      </c>
      <c r="BK43" t="e">
        <f>AND(#REF!,"AAAAAH7+1z4=")</f>
        <v>#REF!</v>
      </c>
      <c r="BL43" t="e">
        <f>AND(#REF!,"AAAAAH7+1z8=")</f>
        <v>#REF!</v>
      </c>
      <c r="BM43" t="e">
        <f>AND(#REF!,"AAAAAH7+10A=")</f>
        <v>#REF!</v>
      </c>
      <c r="BN43" t="e">
        <f>IF(#REF!,"AAAAAH7+10E=",0)</f>
        <v>#REF!</v>
      </c>
      <c r="BO43" t="e">
        <f>AND(#REF!,"AAAAAH7+10I=")</f>
        <v>#REF!</v>
      </c>
      <c r="BP43" t="e">
        <f>AND(#REF!,"AAAAAH7+10M=")</f>
        <v>#REF!</v>
      </c>
      <c r="BQ43" t="e">
        <f>AND(#REF!,"AAAAAH7+10Q=")</f>
        <v>#REF!</v>
      </c>
      <c r="BR43" t="e">
        <f>AND(#REF!,"AAAAAH7+10U=")</f>
        <v>#REF!</v>
      </c>
      <c r="BS43" t="e">
        <f>AND(#REF!,"AAAAAH7+10Y=")</f>
        <v>#REF!</v>
      </c>
      <c r="BT43" t="e">
        <f>AND(#REF!,"AAAAAH7+10c=")</f>
        <v>#REF!</v>
      </c>
      <c r="BU43" t="e">
        <f>AND(#REF!,"AAAAAH7+10g=")</f>
        <v>#REF!</v>
      </c>
      <c r="BV43" t="e">
        <f>AND(#REF!,"AAAAAH7+10k=")</f>
        <v>#REF!</v>
      </c>
      <c r="BW43" t="e">
        <f>AND(#REF!,"AAAAAH7+10o=")</f>
        <v>#REF!</v>
      </c>
      <c r="BX43" t="e">
        <f>AND(#REF!,"AAAAAH7+10s=")</f>
        <v>#REF!</v>
      </c>
      <c r="BY43" t="e">
        <f>AND(#REF!,"AAAAAH7+10w=")</f>
        <v>#REF!</v>
      </c>
      <c r="BZ43" t="e">
        <f>AND(#REF!,"AAAAAH7+100=")</f>
        <v>#REF!</v>
      </c>
      <c r="CA43" t="e">
        <f>AND(#REF!,"AAAAAH7+104=")</f>
        <v>#REF!</v>
      </c>
      <c r="CB43" t="e">
        <f>AND(#REF!,"AAAAAH7+108=")</f>
        <v>#REF!</v>
      </c>
      <c r="CC43" t="e">
        <f>AND(#REF!,"AAAAAH7+11A=")</f>
        <v>#REF!</v>
      </c>
      <c r="CD43" t="e">
        <f>IF(#REF!,"AAAAAH7+11E=",0)</f>
        <v>#REF!</v>
      </c>
      <c r="CE43" t="e">
        <f>AND(#REF!,"AAAAAH7+11I=")</f>
        <v>#REF!</v>
      </c>
      <c r="CF43" t="e">
        <f>AND(#REF!,"AAAAAH7+11M=")</f>
        <v>#REF!</v>
      </c>
      <c r="CG43" t="e">
        <f>AND(#REF!,"AAAAAH7+11Q=")</f>
        <v>#REF!</v>
      </c>
      <c r="CH43" t="e">
        <f>AND(#REF!,"AAAAAH7+11U=")</f>
        <v>#REF!</v>
      </c>
      <c r="CI43" t="e">
        <f>AND(#REF!,"AAAAAH7+11Y=")</f>
        <v>#REF!</v>
      </c>
      <c r="CJ43" t="e">
        <f>AND(#REF!,"AAAAAH7+11c=")</f>
        <v>#REF!</v>
      </c>
      <c r="CK43" t="e">
        <f>AND(#REF!,"AAAAAH7+11g=")</f>
        <v>#REF!</v>
      </c>
      <c r="CL43" t="e">
        <f>AND(#REF!,"AAAAAH7+11k=")</f>
        <v>#REF!</v>
      </c>
      <c r="CM43" t="e">
        <f>AND(#REF!,"AAAAAH7+11o=")</f>
        <v>#REF!</v>
      </c>
      <c r="CN43" t="e">
        <f>AND(#REF!,"AAAAAH7+11s=")</f>
        <v>#REF!</v>
      </c>
      <c r="CO43" t="e">
        <f>AND(#REF!,"AAAAAH7+11w=")</f>
        <v>#REF!</v>
      </c>
      <c r="CP43" t="e">
        <f>AND(#REF!,"AAAAAH7+110=")</f>
        <v>#REF!</v>
      </c>
      <c r="CQ43" t="e">
        <f>AND(#REF!,"AAAAAH7+114=")</f>
        <v>#REF!</v>
      </c>
      <c r="CR43" t="e">
        <f>AND(#REF!,"AAAAAH7+118=")</f>
        <v>#REF!</v>
      </c>
      <c r="CS43" t="e">
        <f>AND(#REF!,"AAAAAH7+12A=")</f>
        <v>#REF!</v>
      </c>
      <c r="CT43" t="e">
        <f>IF(#REF!,"AAAAAH7+12E=",0)</f>
        <v>#REF!</v>
      </c>
      <c r="CU43" t="e">
        <f>AND(#REF!,"AAAAAH7+12I=")</f>
        <v>#REF!</v>
      </c>
      <c r="CV43" t="e">
        <f>AND(#REF!,"AAAAAH7+12M=")</f>
        <v>#REF!</v>
      </c>
      <c r="CW43" t="e">
        <f>AND(#REF!,"AAAAAH7+12Q=")</f>
        <v>#REF!</v>
      </c>
      <c r="CX43" t="e">
        <f>AND(#REF!,"AAAAAH7+12U=")</f>
        <v>#REF!</v>
      </c>
      <c r="CY43" t="e">
        <f>AND(#REF!,"AAAAAH7+12Y=")</f>
        <v>#REF!</v>
      </c>
      <c r="CZ43" t="e">
        <f>AND(#REF!,"AAAAAH7+12c=")</f>
        <v>#REF!</v>
      </c>
      <c r="DA43" t="e">
        <f>AND(#REF!,"AAAAAH7+12g=")</f>
        <v>#REF!</v>
      </c>
      <c r="DB43" t="e">
        <f>AND(#REF!,"AAAAAH7+12k=")</f>
        <v>#REF!</v>
      </c>
      <c r="DC43" t="e">
        <f>AND(#REF!,"AAAAAH7+12o=")</f>
        <v>#REF!</v>
      </c>
      <c r="DD43" t="e">
        <f>AND(#REF!,"AAAAAH7+12s=")</f>
        <v>#REF!</v>
      </c>
      <c r="DE43" t="e">
        <f>AND(#REF!,"AAAAAH7+12w=")</f>
        <v>#REF!</v>
      </c>
      <c r="DF43" t="e">
        <f>AND(#REF!,"AAAAAH7+120=")</f>
        <v>#REF!</v>
      </c>
      <c r="DG43" t="e">
        <f>AND(#REF!,"AAAAAH7+124=")</f>
        <v>#REF!</v>
      </c>
      <c r="DH43" t="e">
        <f>AND(#REF!,"AAAAAH7+128=")</f>
        <v>#REF!</v>
      </c>
      <c r="DI43" t="e">
        <f>AND(#REF!,"AAAAAH7+13A=")</f>
        <v>#REF!</v>
      </c>
      <c r="DJ43" t="e">
        <f>IF(#REF!,"AAAAAH7+13E=",0)</f>
        <v>#REF!</v>
      </c>
      <c r="DK43" t="e">
        <f>AND(#REF!,"AAAAAH7+13I=")</f>
        <v>#REF!</v>
      </c>
      <c r="DL43" t="e">
        <f>AND(#REF!,"AAAAAH7+13M=")</f>
        <v>#REF!</v>
      </c>
      <c r="DM43" t="e">
        <f>AND(#REF!,"AAAAAH7+13Q=")</f>
        <v>#REF!</v>
      </c>
      <c r="DN43" t="e">
        <f>AND(#REF!,"AAAAAH7+13U=")</f>
        <v>#REF!</v>
      </c>
      <c r="DO43" t="e">
        <f>AND(#REF!,"AAAAAH7+13Y=")</f>
        <v>#REF!</v>
      </c>
      <c r="DP43" t="e">
        <f>AND(#REF!,"AAAAAH7+13c=")</f>
        <v>#REF!</v>
      </c>
      <c r="DQ43" t="e">
        <f>AND(#REF!,"AAAAAH7+13g=")</f>
        <v>#REF!</v>
      </c>
      <c r="DR43" t="e">
        <f>AND(#REF!,"AAAAAH7+13k=")</f>
        <v>#REF!</v>
      </c>
      <c r="DS43" t="e">
        <f>AND(#REF!,"AAAAAH7+13o=")</f>
        <v>#REF!</v>
      </c>
      <c r="DT43" t="e">
        <f>AND(#REF!,"AAAAAH7+13s=")</f>
        <v>#REF!</v>
      </c>
      <c r="DU43" t="e">
        <f>AND(#REF!,"AAAAAH7+13w=")</f>
        <v>#REF!</v>
      </c>
      <c r="DV43" t="e">
        <f>AND(#REF!,"AAAAAH7+130=")</f>
        <v>#REF!</v>
      </c>
      <c r="DW43" t="e">
        <f>AND(#REF!,"AAAAAH7+134=")</f>
        <v>#REF!</v>
      </c>
      <c r="DX43" t="e">
        <f>AND(#REF!,"AAAAAH7+138=")</f>
        <v>#REF!</v>
      </c>
      <c r="DY43" t="e">
        <f>AND(#REF!,"AAAAAH7+14A=")</f>
        <v>#REF!</v>
      </c>
      <c r="DZ43" t="e">
        <f>IF(#REF!,"AAAAAH7+14E=",0)</f>
        <v>#REF!</v>
      </c>
      <c r="EA43" t="e">
        <f>AND(#REF!,"AAAAAH7+14I=")</f>
        <v>#REF!</v>
      </c>
      <c r="EB43" t="e">
        <f>AND(#REF!,"AAAAAH7+14M=")</f>
        <v>#REF!</v>
      </c>
      <c r="EC43" t="e">
        <f>AND(#REF!,"AAAAAH7+14Q=")</f>
        <v>#REF!</v>
      </c>
      <c r="ED43" t="e">
        <f>AND(#REF!,"AAAAAH7+14U=")</f>
        <v>#REF!</v>
      </c>
      <c r="EE43" t="e">
        <f>AND(#REF!,"AAAAAH7+14Y=")</f>
        <v>#REF!</v>
      </c>
      <c r="EF43" t="e">
        <f>AND(#REF!,"AAAAAH7+14c=")</f>
        <v>#REF!</v>
      </c>
      <c r="EG43" t="e">
        <f>AND(#REF!,"AAAAAH7+14g=")</f>
        <v>#REF!</v>
      </c>
      <c r="EH43" t="e">
        <f>AND(#REF!,"AAAAAH7+14k=")</f>
        <v>#REF!</v>
      </c>
      <c r="EI43" t="e">
        <f>AND(#REF!,"AAAAAH7+14o=")</f>
        <v>#REF!</v>
      </c>
      <c r="EJ43" t="e">
        <f>AND(#REF!,"AAAAAH7+14s=")</f>
        <v>#REF!</v>
      </c>
      <c r="EK43" t="e">
        <f>AND(#REF!,"AAAAAH7+14w=")</f>
        <v>#REF!</v>
      </c>
      <c r="EL43" t="e">
        <f>AND(#REF!,"AAAAAH7+140=")</f>
        <v>#REF!</v>
      </c>
      <c r="EM43" t="e">
        <f>AND(#REF!,"AAAAAH7+144=")</f>
        <v>#REF!</v>
      </c>
      <c r="EN43" t="e">
        <f>AND(#REF!,"AAAAAH7+148=")</f>
        <v>#REF!</v>
      </c>
      <c r="EO43" t="e">
        <f>AND(#REF!,"AAAAAH7+15A=")</f>
        <v>#REF!</v>
      </c>
      <c r="EP43" t="e">
        <f>IF(#REF!,"AAAAAH7+15E=",0)</f>
        <v>#REF!</v>
      </c>
      <c r="EQ43" t="e">
        <f>AND(#REF!,"AAAAAH7+15I=")</f>
        <v>#REF!</v>
      </c>
      <c r="ER43" t="e">
        <f>AND(#REF!,"AAAAAH7+15M=")</f>
        <v>#REF!</v>
      </c>
      <c r="ES43" t="e">
        <f>AND(#REF!,"AAAAAH7+15Q=")</f>
        <v>#REF!</v>
      </c>
      <c r="ET43" t="e">
        <f>AND(#REF!,"AAAAAH7+15U=")</f>
        <v>#REF!</v>
      </c>
      <c r="EU43" t="e">
        <f>AND(#REF!,"AAAAAH7+15Y=")</f>
        <v>#REF!</v>
      </c>
      <c r="EV43" t="e">
        <f>AND(#REF!,"AAAAAH7+15c=")</f>
        <v>#REF!</v>
      </c>
      <c r="EW43" t="e">
        <f>AND(#REF!,"AAAAAH7+15g=")</f>
        <v>#REF!</v>
      </c>
      <c r="EX43" t="e">
        <f>AND(#REF!,"AAAAAH7+15k=")</f>
        <v>#REF!</v>
      </c>
      <c r="EY43" t="e">
        <f>AND(#REF!,"AAAAAH7+15o=")</f>
        <v>#REF!</v>
      </c>
      <c r="EZ43" t="e">
        <f>AND(#REF!,"AAAAAH7+15s=")</f>
        <v>#REF!</v>
      </c>
      <c r="FA43" t="e">
        <f>AND(#REF!,"AAAAAH7+15w=")</f>
        <v>#REF!</v>
      </c>
      <c r="FB43" t="e">
        <f>AND(#REF!,"AAAAAH7+150=")</f>
        <v>#REF!</v>
      </c>
      <c r="FC43" t="e">
        <f>AND(#REF!,"AAAAAH7+154=")</f>
        <v>#REF!</v>
      </c>
      <c r="FD43" t="e">
        <f>AND(#REF!,"AAAAAH7+158=")</f>
        <v>#REF!</v>
      </c>
      <c r="FE43" t="e">
        <f>AND(#REF!,"AAAAAH7+16A=")</f>
        <v>#REF!</v>
      </c>
      <c r="FF43" t="e">
        <f>IF(#REF!,"AAAAAH7+16E=",0)</f>
        <v>#REF!</v>
      </c>
      <c r="FG43" t="e">
        <f>AND(#REF!,"AAAAAH7+16I=")</f>
        <v>#REF!</v>
      </c>
      <c r="FH43" t="e">
        <f>AND(#REF!,"AAAAAH7+16M=")</f>
        <v>#REF!</v>
      </c>
      <c r="FI43" t="e">
        <f>AND(#REF!,"AAAAAH7+16Q=")</f>
        <v>#REF!</v>
      </c>
      <c r="FJ43" t="e">
        <f>AND(#REF!,"AAAAAH7+16U=")</f>
        <v>#REF!</v>
      </c>
      <c r="FK43" t="e">
        <f>AND(#REF!,"AAAAAH7+16Y=")</f>
        <v>#REF!</v>
      </c>
      <c r="FL43" t="e">
        <f>AND(#REF!,"AAAAAH7+16c=")</f>
        <v>#REF!</v>
      </c>
      <c r="FM43" t="e">
        <f>AND(#REF!,"AAAAAH7+16g=")</f>
        <v>#REF!</v>
      </c>
      <c r="FN43" t="e">
        <f>AND(#REF!,"AAAAAH7+16k=")</f>
        <v>#REF!</v>
      </c>
      <c r="FO43" t="e">
        <f>AND(#REF!,"AAAAAH7+16o=")</f>
        <v>#REF!</v>
      </c>
      <c r="FP43" t="e">
        <f>AND(#REF!,"AAAAAH7+16s=")</f>
        <v>#REF!</v>
      </c>
      <c r="FQ43" t="e">
        <f>AND(#REF!,"AAAAAH7+16w=")</f>
        <v>#REF!</v>
      </c>
      <c r="FR43" t="e">
        <f>AND(#REF!,"AAAAAH7+160=")</f>
        <v>#REF!</v>
      </c>
      <c r="FS43" t="e">
        <f>AND(#REF!,"AAAAAH7+164=")</f>
        <v>#REF!</v>
      </c>
      <c r="FT43" t="e">
        <f>AND(#REF!,"AAAAAH7+168=")</f>
        <v>#REF!</v>
      </c>
      <c r="FU43" t="e">
        <f>AND(#REF!,"AAAAAH7+17A=")</f>
        <v>#REF!</v>
      </c>
      <c r="FV43" t="e">
        <f>IF(#REF!,"AAAAAH7+17E=",0)</f>
        <v>#REF!</v>
      </c>
      <c r="FW43" t="e">
        <f>AND(#REF!,"AAAAAH7+17I=")</f>
        <v>#REF!</v>
      </c>
      <c r="FX43" t="e">
        <f>AND(#REF!,"AAAAAH7+17M=")</f>
        <v>#REF!</v>
      </c>
      <c r="FY43" t="e">
        <f>AND(#REF!,"AAAAAH7+17Q=")</f>
        <v>#REF!</v>
      </c>
      <c r="FZ43" t="e">
        <f>AND(#REF!,"AAAAAH7+17U=")</f>
        <v>#REF!</v>
      </c>
      <c r="GA43" t="e">
        <f>AND(#REF!,"AAAAAH7+17Y=")</f>
        <v>#REF!</v>
      </c>
      <c r="GB43" t="e">
        <f>AND(#REF!,"AAAAAH7+17c=")</f>
        <v>#REF!</v>
      </c>
      <c r="GC43" t="e">
        <f>AND(#REF!,"AAAAAH7+17g=")</f>
        <v>#REF!</v>
      </c>
      <c r="GD43" t="e">
        <f>AND(#REF!,"AAAAAH7+17k=")</f>
        <v>#REF!</v>
      </c>
      <c r="GE43" t="e">
        <f>AND(#REF!,"AAAAAH7+17o=")</f>
        <v>#REF!</v>
      </c>
      <c r="GF43" t="e">
        <f>AND(#REF!,"AAAAAH7+17s=")</f>
        <v>#REF!</v>
      </c>
      <c r="GG43" t="e">
        <f>AND(#REF!,"AAAAAH7+17w=")</f>
        <v>#REF!</v>
      </c>
      <c r="GH43" t="e">
        <f>AND(#REF!,"AAAAAH7+170=")</f>
        <v>#REF!</v>
      </c>
      <c r="GI43" t="e">
        <f>AND(#REF!,"AAAAAH7+174=")</f>
        <v>#REF!</v>
      </c>
      <c r="GJ43" t="e">
        <f>AND(#REF!,"AAAAAH7+178=")</f>
        <v>#REF!</v>
      </c>
      <c r="GK43" t="e">
        <f>AND(#REF!,"AAAAAH7+18A=")</f>
        <v>#REF!</v>
      </c>
      <c r="GL43" t="e">
        <f>IF(#REF!,"AAAAAH7+18E=",0)</f>
        <v>#REF!</v>
      </c>
      <c r="GM43" t="e">
        <f>AND(#REF!,"AAAAAH7+18I=")</f>
        <v>#REF!</v>
      </c>
      <c r="GN43" t="e">
        <f>AND(#REF!,"AAAAAH7+18M=")</f>
        <v>#REF!</v>
      </c>
      <c r="GO43" t="e">
        <f>AND(#REF!,"AAAAAH7+18Q=")</f>
        <v>#REF!</v>
      </c>
      <c r="GP43" t="e">
        <f>AND(#REF!,"AAAAAH7+18U=")</f>
        <v>#REF!</v>
      </c>
      <c r="GQ43" t="e">
        <f>AND(#REF!,"AAAAAH7+18Y=")</f>
        <v>#REF!</v>
      </c>
      <c r="GR43" t="e">
        <f>AND(#REF!,"AAAAAH7+18c=")</f>
        <v>#REF!</v>
      </c>
      <c r="GS43" t="e">
        <f>AND(#REF!,"AAAAAH7+18g=")</f>
        <v>#REF!</v>
      </c>
      <c r="GT43" t="e">
        <f>AND(#REF!,"AAAAAH7+18k=")</f>
        <v>#REF!</v>
      </c>
      <c r="GU43" t="e">
        <f>AND(#REF!,"AAAAAH7+18o=")</f>
        <v>#REF!</v>
      </c>
      <c r="GV43" t="e">
        <f>AND(#REF!,"AAAAAH7+18s=")</f>
        <v>#REF!</v>
      </c>
      <c r="GW43" t="e">
        <f>AND(#REF!,"AAAAAH7+18w=")</f>
        <v>#REF!</v>
      </c>
      <c r="GX43" t="e">
        <f>AND(#REF!,"AAAAAH7+180=")</f>
        <v>#REF!</v>
      </c>
      <c r="GY43" t="e">
        <f>AND(#REF!,"AAAAAH7+184=")</f>
        <v>#REF!</v>
      </c>
      <c r="GZ43" t="e">
        <f>AND(#REF!,"AAAAAH7+188=")</f>
        <v>#REF!</v>
      </c>
      <c r="HA43" t="e">
        <f>AND(#REF!,"AAAAAH7+19A=")</f>
        <v>#REF!</v>
      </c>
      <c r="HB43" t="e">
        <f>IF(#REF!,"AAAAAH7+19E=",0)</f>
        <v>#REF!</v>
      </c>
      <c r="HC43" t="e">
        <f>AND(#REF!,"AAAAAH7+19I=")</f>
        <v>#REF!</v>
      </c>
      <c r="HD43" t="e">
        <f>AND(#REF!,"AAAAAH7+19M=")</f>
        <v>#REF!</v>
      </c>
      <c r="HE43" t="e">
        <f>AND(#REF!,"AAAAAH7+19Q=")</f>
        <v>#REF!</v>
      </c>
      <c r="HF43" t="e">
        <f>AND(#REF!,"AAAAAH7+19U=")</f>
        <v>#REF!</v>
      </c>
      <c r="HG43" t="e">
        <f>AND(#REF!,"AAAAAH7+19Y=")</f>
        <v>#REF!</v>
      </c>
      <c r="HH43" t="e">
        <f>AND(#REF!,"AAAAAH7+19c=")</f>
        <v>#REF!</v>
      </c>
      <c r="HI43" t="e">
        <f>AND(#REF!,"AAAAAH7+19g=")</f>
        <v>#REF!</v>
      </c>
      <c r="HJ43" t="e">
        <f>AND(#REF!,"AAAAAH7+19k=")</f>
        <v>#REF!</v>
      </c>
      <c r="HK43" t="e">
        <f>AND(#REF!,"AAAAAH7+19o=")</f>
        <v>#REF!</v>
      </c>
      <c r="HL43" t="e">
        <f>AND(#REF!,"AAAAAH7+19s=")</f>
        <v>#REF!</v>
      </c>
      <c r="HM43" t="e">
        <f>AND(#REF!,"AAAAAH7+19w=")</f>
        <v>#REF!</v>
      </c>
      <c r="HN43" t="e">
        <f>AND(#REF!,"AAAAAH7+190=")</f>
        <v>#REF!</v>
      </c>
      <c r="HO43" t="e">
        <f>AND(#REF!,"AAAAAH7+194=")</f>
        <v>#REF!</v>
      </c>
      <c r="HP43" t="e">
        <f>AND(#REF!,"AAAAAH7+198=")</f>
        <v>#REF!</v>
      </c>
      <c r="HQ43" t="e">
        <f>AND(#REF!,"AAAAAH7+1+A=")</f>
        <v>#REF!</v>
      </c>
      <c r="HR43" t="e">
        <f>IF(#REF!,"AAAAAH7+1+E=",0)</f>
        <v>#REF!</v>
      </c>
      <c r="HS43" t="e">
        <f>AND(#REF!,"AAAAAH7+1+I=")</f>
        <v>#REF!</v>
      </c>
      <c r="HT43" t="e">
        <f>AND(#REF!,"AAAAAH7+1+M=")</f>
        <v>#REF!</v>
      </c>
      <c r="HU43" t="e">
        <f>AND(#REF!,"AAAAAH7+1+Q=")</f>
        <v>#REF!</v>
      </c>
      <c r="HV43" t="e">
        <f>AND(#REF!,"AAAAAH7+1+U=")</f>
        <v>#REF!</v>
      </c>
      <c r="HW43" t="e">
        <f>AND(#REF!,"AAAAAH7+1+Y=")</f>
        <v>#REF!</v>
      </c>
      <c r="HX43" t="e">
        <f>AND(#REF!,"AAAAAH7+1+c=")</f>
        <v>#REF!</v>
      </c>
      <c r="HY43" t="e">
        <f>AND(#REF!,"AAAAAH7+1+g=")</f>
        <v>#REF!</v>
      </c>
      <c r="HZ43" t="e">
        <f>AND(#REF!,"AAAAAH7+1+k=")</f>
        <v>#REF!</v>
      </c>
      <c r="IA43" t="e">
        <f>AND(#REF!,"AAAAAH7+1+o=")</f>
        <v>#REF!</v>
      </c>
      <c r="IB43" t="e">
        <f>AND(#REF!,"AAAAAH7+1+s=")</f>
        <v>#REF!</v>
      </c>
      <c r="IC43" t="e">
        <f>AND(#REF!,"AAAAAH7+1+w=")</f>
        <v>#REF!</v>
      </c>
      <c r="ID43" t="e">
        <f>AND(#REF!,"AAAAAH7+1+0=")</f>
        <v>#REF!</v>
      </c>
      <c r="IE43" t="e">
        <f>AND(#REF!,"AAAAAH7+1+4=")</f>
        <v>#REF!</v>
      </c>
      <c r="IF43" t="e">
        <f>AND(#REF!,"AAAAAH7+1+8=")</f>
        <v>#REF!</v>
      </c>
      <c r="IG43" t="e">
        <f>AND(#REF!,"AAAAAH7+1/A=")</f>
        <v>#REF!</v>
      </c>
      <c r="IH43" t="e">
        <f>IF(#REF!,"AAAAAH7+1/E=",0)</f>
        <v>#REF!</v>
      </c>
      <c r="II43" t="e">
        <f>AND(#REF!,"AAAAAH7+1/I=")</f>
        <v>#REF!</v>
      </c>
      <c r="IJ43" t="e">
        <f>AND(#REF!,"AAAAAH7+1/M=")</f>
        <v>#REF!</v>
      </c>
      <c r="IK43" t="e">
        <f>AND(#REF!,"AAAAAH7+1/Q=")</f>
        <v>#REF!</v>
      </c>
      <c r="IL43" t="e">
        <f>AND(#REF!,"AAAAAH7+1/U=")</f>
        <v>#REF!</v>
      </c>
      <c r="IM43" t="e">
        <f>AND(#REF!,"AAAAAH7+1/Y=")</f>
        <v>#REF!</v>
      </c>
      <c r="IN43" t="e">
        <f>AND(#REF!,"AAAAAH7+1/c=")</f>
        <v>#REF!</v>
      </c>
      <c r="IO43" t="e">
        <f>AND(#REF!,"AAAAAH7+1/g=")</f>
        <v>#REF!</v>
      </c>
      <c r="IP43" t="e">
        <f>AND(#REF!,"AAAAAH7+1/k=")</f>
        <v>#REF!</v>
      </c>
      <c r="IQ43" t="e">
        <f>AND(#REF!,"AAAAAH7+1/o=")</f>
        <v>#REF!</v>
      </c>
      <c r="IR43" t="e">
        <f>AND(#REF!,"AAAAAH7+1/s=")</f>
        <v>#REF!</v>
      </c>
      <c r="IS43" t="e">
        <f>AND(#REF!,"AAAAAH7+1/w=")</f>
        <v>#REF!</v>
      </c>
      <c r="IT43" t="e">
        <f>AND(#REF!,"AAAAAH7+1/0=")</f>
        <v>#REF!</v>
      </c>
      <c r="IU43" t="e">
        <f>AND(#REF!,"AAAAAH7+1/4=")</f>
        <v>#REF!</v>
      </c>
      <c r="IV43" t="e">
        <f>AND(#REF!,"AAAAAH7+1/8=")</f>
        <v>#REF!</v>
      </c>
    </row>
    <row r="44" spans="1:256">
      <c r="A44" t="e">
        <f>AND(#REF!,"AAAAAA/d9gA=")</f>
        <v>#REF!</v>
      </c>
      <c r="B44" t="e">
        <f>IF(#REF!,"AAAAAA/d9gE=",0)</f>
        <v>#REF!</v>
      </c>
      <c r="C44" t="e">
        <f>AND(#REF!,"AAAAAA/d9gI=")</f>
        <v>#REF!</v>
      </c>
      <c r="D44" t="e">
        <f>AND(#REF!,"AAAAAA/d9gM=")</f>
        <v>#REF!</v>
      </c>
      <c r="E44" t="e">
        <f>AND(#REF!,"AAAAAA/d9gQ=")</f>
        <v>#REF!</v>
      </c>
      <c r="F44" t="e">
        <f>AND(#REF!,"AAAAAA/d9gU=")</f>
        <v>#REF!</v>
      </c>
      <c r="G44" t="e">
        <f>AND(#REF!,"AAAAAA/d9gY=")</f>
        <v>#REF!</v>
      </c>
      <c r="H44" t="e">
        <f>AND(#REF!,"AAAAAA/d9gc=")</f>
        <v>#REF!</v>
      </c>
      <c r="I44" t="e">
        <f>AND(#REF!,"AAAAAA/d9gg=")</f>
        <v>#REF!</v>
      </c>
      <c r="J44" t="e">
        <f>AND(#REF!,"AAAAAA/d9gk=")</f>
        <v>#REF!</v>
      </c>
      <c r="K44" t="e">
        <f>AND(#REF!,"AAAAAA/d9go=")</f>
        <v>#REF!</v>
      </c>
      <c r="L44" t="e">
        <f>AND(#REF!,"AAAAAA/d9gs=")</f>
        <v>#REF!</v>
      </c>
      <c r="M44" t="e">
        <f>AND(#REF!,"AAAAAA/d9gw=")</f>
        <v>#REF!</v>
      </c>
      <c r="N44" t="e">
        <f>AND(#REF!,"AAAAAA/d9g0=")</f>
        <v>#REF!</v>
      </c>
      <c r="O44" t="e">
        <f>AND(#REF!,"AAAAAA/d9g4=")</f>
        <v>#REF!</v>
      </c>
      <c r="P44" t="e">
        <f>AND(#REF!,"AAAAAA/d9g8=")</f>
        <v>#REF!</v>
      </c>
      <c r="Q44" t="e">
        <f>AND(#REF!,"AAAAAA/d9hA=")</f>
        <v>#REF!</v>
      </c>
      <c r="R44" t="e">
        <f>IF(#REF!,"AAAAAA/d9hE=",0)</f>
        <v>#REF!</v>
      </c>
      <c r="S44" t="e">
        <f>AND(#REF!,"AAAAAA/d9hI=")</f>
        <v>#REF!</v>
      </c>
      <c r="T44" t="e">
        <f>AND(#REF!,"AAAAAA/d9hM=")</f>
        <v>#REF!</v>
      </c>
      <c r="U44" t="e">
        <f>AND(#REF!,"AAAAAA/d9hQ=")</f>
        <v>#REF!</v>
      </c>
      <c r="V44" t="e">
        <f>AND(#REF!,"AAAAAA/d9hU=")</f>
        <v>#REF!</v>
      </c>
      <c r="W44" t="e">
        <f>AND(#REF!,"AAAAAA/d9hY=")</f>
        <v>#REF!</v>
      </c>
      <c r="X44" t="e">
        <f>AND(#REF!,"AAAAAA/d9hc=")</f>
        <v>#REF!</v>
      </c>
      <c r="Y44" t="e">
        <f>AND(#REF!,"AAAAAA/d9hg=")</f>
        <v>#REF!</v>
      </c>
      <c r="Z44" t="e">
        <f>AND(#REF!,"AAAAAA/d9hk=")</f>
        <v>#REF!</v>
      </c>
      <c r="AA44" t="e">
        <f>AND(#REF!,"AAAAAA/d9ho=")</f>
        <v>#REF!</v>
      </c>
      <c r="AB44" t="e">
        <f>AND(#REF!,"AAAAAA/d9hs=")</f>
        <v>#REF!</v>
      </c>
      <c r="AC44" t="e">
        <f>AND(#REF!,"AAAAAA/d9hw=")</f>
        <v>#REF!</v>
      </c>
      <c r="AD44" t="e">
        <f>AND(#REF!,"AAAAAA/d9h0=")</f>
        <v>#REF!</v>
      </c>
      <c r="AE44" t="e">
        <f>AND(#REF!,"AAAAAA/d9h4=")</f>
        <v>#REF!</v>
      </c>
      <c r="AF44" t="e">
        <f>AND(#REF!,"AAAAAA/d9h8=")</f>
        <v>#REF!</v>
      </c>
      <c r="AG44" t="e">
        <f>AND(#REF!,"AAAAAA/d9iA=")</f>
        <v>#REF!</v>
      </c>
      <c r="AH44" t="e">
        <f>IF(#REF!,"AAAAAA/d9iE=",0)</f>
        <v>#REF!</v>
      </c>
      <c r="AI44" t="e">
        <f>AND(#REF!,"AAAAAA/d9iI=")</f>
        <v>#REF!</v>
      </c>
      <c r="AJ44" t="e">
        <f>AND(#REF!,"AAAAAA/d9iM=")</f>
        <v>#REF!</v>
      </c>
      <c r="AK44" t="e">
        <f>AND(#REF!,"AAAAAA/d9iQ=")</f>
        <v>#REF!</v>
      </c>
      <c r="AL44" t="e">
        <f>AND(#REF!,"AAAAAA/d9iU=")</f>
        <v>#REF!</v>
      </c>
      <c r="AM44" t="e">
        <f>AND(#REF!,"AAAAAA/d9iY=")</f>
        <v>#REF!</v>
      </c>
      <c r="AN44" t="e">
        <f>AND(#REF!,"AAAAAA/d9ic=")</f>
        <v>#REF!</v>
      </c>
      <c r="AO44" t="e">
        <f>AND(#REF!,"AAAAAA/d9ig=")</f>
        <v>#REF!</v>
      </c>
      <c r="AP44" t="e">
        <f>AND(#REF!,"AAAAAA/d9ik=")</f>
        <v>#REF!</v>
      </c>
      <c r="AQ44" t="e">
        <f>AND(#REF!,"AAAAAA/d9io=")</f>
        <v>#REF!</v>
      </c>
      <c r="AR44" t="e">
        <f>AND(#REF!,"AAAAAA/d9is=")</f>
        <v>#REF!</v>
      </c>
      <c r="AS44" t="e">
        <f>AND(#REF!,"AAAAAA/d9iw=")</f>
        <v>#REF!</v>
      </c>
      <c r="AT44" t="e">
        <f>AND(#REF!,"AAAAAA/d9i0=")</f>
        <v>#REF!</v>
      </c>
      <c r="AU44" t="e">
        <f>AND(#REF!,"AAAAAA/d9i4=")</f>
        <v>#REF!</v>
      </c>
      <c r="AV44" t="e">
        <f>AND(#REF!,"AAAAAA/d9i8=")</f>
        <v>#REF!</v>
      </c>
      <c r="AW44" t="e">
        <f>AND(#REF!,"AAAAAA/d9jA=")</f>
        <v>#REF!</v>
      </c>
      <c r="AX44" t="e">
        <f>IF(#REF!,"AAAAAA/d9jE=",0)</f>
        <v>#REF!</v>
      </c>
      <c r="AY44" t="e">
        <f>AND(#REF!,"AAAAAA/d9jI=")</f>
        <v>#REF!</v>
      </c>
      <c r="AZ44" t="e">
        <f>AND(#REF!,"AAAAAA/d9jM=")</f>
        <v>#REF!</v>
      </c>
      <c r="BA44" t="e">
        <f>AND(#REF!,"AAAAAA/d9jQ=")</f>
        <v>#REF!</v>
      </c>
      <c r="BB44" t="e">
        <f>AND(#REF!,"AAAAAA/d9jU=")</f>
        <v>#REF!</v>
      </c>
      <c r="BC44" t="e">
        <f>AND(#REF!,"AAAAAA/d9jY=")</f>
        <v>#REF!</v>
      </c>
      <c r="BD44" t="e">
        <f>AND(#REF!,"AAAAAA/d9jc=")</f>
        <v>#REF!</v>
      </c>
      <c r="BE44" t="e">
        <f>AND(#REF!,"AAAAAA/d9jg=")</f>
        <v>#REF!</v>
      </c>
      <c r="BF44" t="e">
        <f>AND(#REF!,"AAAAAA/d9jk=")</f>
        <v>#REF!</v>
      </c>
      <c r="BG44" t="e">
        <f>AND(#REF!,"AAAAAA/d9jo=")</f>
        <v>#REF!</v>
      </c>
      <c r="BH44" t="e">
        <f>AND(#REF!,"AAAAAA/d9js=")</f>
        <v>#REF!</v>
      </c>
      <c r="BI44" t="e">
        <f>AND(#REF!,"AAAAAA/d9jw=")</f>
        <v>#REF!</v>
      </c>
      <c r="BJ44" t="e">
        <f>AND(#REF!,"AAAAAA/d9j0=")</f>
        <v>#REF!</v>
      </c>
      <c r="BK44" t="e">
        <f>AND(#REF!,"AAAAAA/d9j4=")</f>
        <v>#REF!</v>
      </c>
      <c r="BL44" t="e">
        <f>AND(#REF!,"AAAAAA/d9j8=")</f>
        <v>#REF!</v>
      </c>
      <c r="BM44" t="e">
        <f>AND(#REF!,"AAAAAA/d9kA=")</f>
        <v>#REF!</v>
      </c>
      <c r="BN44" t="e">
        <f>IF(#REF!,"AAAAAA/d9kE=",0)</f>
        <v>#REF!</v>
      </c>
      <c r="BO44" t="e">
        <f>AND(#REF!,"AAAAAA/d9kI=")</f>
        <v>#REF!</v>
      </c>
      <c r="BP44" t="e">
        <f>AND(#REF!,"AAAAAA/d9kM=")</f>
        <v>#REF!</v>
      </c>
      <c r="BQ44" t="e">
        <f>AND(#REF!,"AAAAAA/d9kQ=")</f>
        <v>#REF!</v>
      </c>
      <c r="BR44" t="e">
        <f>AND(#REF!,"AAAAAA/d9kU=")</f>
        <v>#REF!</v>
      </c>
      <c r="BS44" t="e">
        <f>AND(#REF!,"AAAAAA/d9kY=")</f>
        <v>#REF!</v>
      </c>
      <c r="BT44" t="e">
        <f>AND(#REF!,"AAAAAA/d9kc=")</f>
        <v>#REF!</v>
      </c>
      <c r="BU44" t="e">
        <f>AND(#REF!,"AAAAAA/d9kg=")</f>
        <v>#REF!</v>
      </c>
      <c r="BV44" t="e">
        <f>AND(#REF!,"AAAAAA/d9kk=")</f>
        <v>#REF!</v>
      </c>
      <c r="BW44" t="e">
        <f>AND(#REF!,"AAAAAA/d9ko=")</f>
        <v>#REF!</v>
      </c>
      <c r="BX44" t="e">
        <f>AND(#REF!,"AAAAAA/d9ks=")</f>
        <v>#REF!</v>
      </c>
      <c r="BY44" t="e">
        <f>AND(#REF!,"AAAAAA/d9kw=")</f>
        <v>#REF!</v>
      </c>
      <c r="BZ44" t="e">
        <f>AND(#REF!,"AAAAAA/d9k0=")</f>
        <v>#REF!</v>
      </c>
      <c r="CA44" t="e">
        <f>AND(#REF!,"AAAAAA/d9k4=")</f>
        <v>#REF!</v>
      </c>
      <c r="CB44" t="e">
        <f>AND(#REF!,"AAAAAA/d9k8=")</f>
        <v>#REF!</v>
      </c>
      <c r="CC44" t="e">
        <f>AND(#REF!,"AAAAAA/d9lA=")</f>
        <v>#REF!</v>
      </c>
      <c r="CD44" t="e">
        <f>IF(#REF!,"AAAAAA/d9lE=",0)</f>
        <v>#REF!</v>
      </c>
      <c r="CE44" t="e">
        <f>IF(#REF!,"AAAAAA/d9lI=",0)</f>
        <v>#REF!</v>
      </c>
      <c r="CF44" t="e">
        <f>IF(#REF!,"AAAAAA/d9lM=",0)</f>
        <v>#REF!</v>
      </c>
      <c r="CG44" t="e">
        <f>IF(#REF!,"AAAAAA/d9lQ=",0)</f>
        <v>#REF!</v>
      </c>
      <c r="CH44" t="e">
        <f>IF(#REF!,"AAAAAA/d9lU=",0)</f>
        <v>#REF!</v>
      </c>
      <c r="CI44" t="e">
        <f>IF(#REF!,"AAAAAA/d9lY=",0)</f>
        <v>#REF!</v>
      </c>
      <c r="CJ44" t="e">
        <f>IF(#REF!,"AAAAAA/d9lc=",0)</f>
        <v>#REF!</v>
      </c>
      <c r="CK44" t="e">
        <f>IF(#REF!,"AAAAAA/d9lg=",0)</f>
        <v>#REF!</v>
      </c>
      <c r="CL44" t="e">
        <f>IF(#REF!,"AAAAAA/d9lk=",0)</f>
        <v>#REF!</v>
      </c>
      <c r="CM44" t="e">
        <f>IF(#REF!,"AAAAAA/d9lo=",0)</f>
        <v>#REF!</v>
      </c>
      <c r="CN44" t="e">
        <f>IF(#REF!,"AAAAAA/d9ls=",0)</f>
        <v>#REF!</v>
      </c>
      <c r="CO44" t="e">
        <f>IF(#REF!,"AAAAAA/d9lw=",0)</f>
        <v>#REF!</v>
      </c>
      <c r="CP44" t="e">
        <f>IF(#REF!,"AAAAAA/d9l0=",0)</f>
        <v>#REF!</v>
      </c>
      <c r="CQ44" t="e">
        <f>IF(#REF!,"AAAAAA/d9l4=",0)</f>
        <v>#REF!</v>
      </c>
      <c r="CR44" t="e">
        <f>IF(#REF!,"AAAAAA/d9l8=",0)</f>
        <v>#REF!</v>
      </c>
      <c r="CS44" t="e">
        <f>IF(#REF!,"AAAAAA/d9mA=",0)</f>
        <v>#REF!</v>
      </c>
      <c r="CT44">
        <f>IF('Surface Coating'!1:1,"AAAAAA/d9mE=",0)</f>
        <v>0</v>
      </c>
      <c r="CU44" t="e">
        <f>AND('Surface Coating'!A1,"AAAAAA/d9mI=")</f>
        <v>#VALUE!</v>
      </c>
      <c r="CV44" t="e">
        <f>AND('Surface Coating'!B1,"AAAAAA/d9mM=")</f>
        <v>#VALUE!</v>
      </c>
      <c r="CW44" t="e">
        <f>AND('Surface Coating'!C1,"AAAAAA/d9mQ=")</f>
        <v>#VALUE!</v>
      </c>
      <c r="CX44" t="e">
        <f>AND('Surface Coating'!D1,"AAAAAA/d9mU=")</f>
        <v>#VALUE!</v>
      </c>
      <c r="CY44" t="e">
        <f>AND('Surface Coating'!E1,"AAAAAA/d9mY=")</f>
        <v>#VALUE!</v>
      </c>
      <c r="CZ44" t="e">
        <f>AND('Surface Coating'!F1,"AAAAAA/d9mc=")</f>
        <v>#VALUE!</v>
      </c>
      <c r="DA44" t="e">
        <f>AND('Surface Coating'!G1,"AAAAAA/d9mg=")</f>
        <v>#VALUE!</v>
      </c>
      <c r="DB44" t="e">
        <f>AND('Surface Coating'!H1,"AAAAAA/d9mk=")</f>
        <v>#VALUE!</v>
      </c>
      <c r="DC44" t="e">
        <f>AND('Surface Coating'!I1,"AAAAAA/d9mo=")</f>
        <v>#VALUE!</v>
      </c>
      <c r="DD44" t="e">
        <f>AND('Surface Coating'!J1,"AAAAAA/d9ms=")</f>
        <v>#VALUE!</v>
      </c>
      <c r="DE44" t="e">
        <f>AND('Surface Coating'!K1,"AAAAAA/d9mw=")</f>
        <v>#VALUE!</v>
      </c>
      <c r="DF44" t="e">
        <f>AND('Surface Coating'!L1,"AAAAAA/d9m0=")</f>
        <v>#VALUE!</v>
      </c>
      <c r="DG44" t="e">
        <f>AND('Surface Coating'!M1,"AAAAAA/d9m4=")</f>
        <v>#VALUE!</v>
      </c>
      <c r="DH44" t="e">
        <f>AND('Surface Coating'!N1,"AAAAAA/d9m8=")</f>
        <v>#VALUE!</v>
      </c>
      <c r="DI44" t="e">
        <f>AND('Surface Coating'!O1,"AAAAAA/d9nA=")</f>
        <v>#VALUE!</v>
      </c>
      <c r="DJ44" t="e">
        <f>AND('Surface Coating'!P1,"AAAAAA/d9nE=")</f>
        <v>#VALUE!</v>
      </c>
      <c r="DK44" t="e">
        <f>AND('Surface Coating'!Q1,"AAAAAA/d9nI=")</f>
        <v>#VALUE!</v>
      </c>
      <c r="DL44" t="e">
        <f>AND('Surface Coating'!R1,"AAAAAA/d9nM=")</f>
        <v>#VALUE!</v>
      </c>
      <c r="DM44" t="e">
        <f>AND('Surface Coating'!S1,"AAAAAA/d9nQ=")</f>
        <v>#VALUE!</v>
      </c>
      <c r="DN44" t="e">
        <f>AND('Surface Coating'!T1,"AAAAAA/d9nU=")</f>
        <v>#VALUE!</v>
      </c>
      <c r="DO44" t="e">
        <f>AND('Surface Coating'!U1,"AAAAAA/d9nY=")</f>
        <v>#VALUE!</v>
      </c>
      <c r="DP44" t="e">
        <f>AND('Surface Coating'!V1,"AAAAAA/d9nc=")</f>
        <v>#VALUE!</v>
      </c>
      <c r="DQ44" t="e">
        <f>AND('Surface Coating'!W1,"AAAAAA/d9ng=")</f>
        <v>#VALUE!</v>
      </c>
      <c r="DR44" t="e">
        <f>AND('Surface Coating'!X1,"AAAAAA/d9nk=")</f>
        <v>#VALUE!</v>
      </c>
      <c r="DS44" t="e">
        <f>AND('Surface Coating'!Y1,"AAAAAA/d9no=")</f>
        <v>#VALUE!</v>
      </c>
      <c r="DT44">
        <f>IF('Surface Coating'!2:2,"AAAAAA/d9ns=",0)</f>
        <v>0</v>
      </c>
      <c r="DU44" t="e">
        <f>AND('Surface Coating'!A2,"AAAAAA/d9nw=")</f>
        <v>#VALUE!</v>
      </c>
      <c r="DV44" t="e">
        <f>AND('Surface Coating'!B2,"AAAAAA/d9n0=")</f>
        <v>#VALUE!</v>
      </c>
      <c r="DW44" t="e">
        <f>AND('Surface Coating'!C2,"AAAAAA/d9n4=")</f>
        <v>#VALUE!</v>
      </c>
      <c r="DX44" t="e">
        <f>AND('Surface Coating'!D2,"AAAAAA/d9n8=")</f>
        <v>#VALUE!</v>
      </c>
      <c r="DY44" t="e">
        <f>AND('Surface Coating'!E2,"AAAAAA/d9oA=")</f>
        <v>#VALUE!</v>
      </c>
      <c r="DZ44" t="e">
        <f>AND('Surface Coating'!F2,"AAAAAA/d9oE=")</f>
        <v>#VALUE!</v>
      </c>
      <c r="EA44" t="e">
        <f>AND('Surface Coating'!G2,"AAAAAA/d9oI=")</f>
        <v>#VALUE!</v>
      </c>
      <c r="EB44" t="e">
        <f>AND('Surface Coating'!H2,"AAAAAA/d9oM=")</f>
        <v>#VALUE!</v>
      </c>
      <c r="EC44" t="e">
        <f>AND('Surface Coating'!I2,"AAAAAA/d9oQ=")</f>
        <v>#VALUE!</v>
      </c>
      <c r="ED44" t="e">
        <f>AND('Surface Coating'!J2,"AAAAAA/d9oU=")</f>
        <v>#VALUE!</v>
      </c>
      <c r="EE44" t="e">
        <f>AND('Surface Coating'!K2,"AAAAAA/d9oY=")</f>
        <v>#VALUE!</v>
      </c>
      <c r="EF44" t="e">
        <f>AND('Surface Coating'!L2,"AAAAAA/d9oc=")</f>
        <v>#VALUE!</v>
      </c>
      <c r="EG44" t="e">
        <f>AND('Surface Coating'!M2,"AAAAAA/d9og=")</f>
        <v>#VALUE!</v>
      </c>
      <c r="EH44" t="e">
        <f>AND('Surface Coating'!N2,"AAAAAA/d9ok=")</f>
        <v>#VALUE!</v>
      </c>
      <c r="EI44" t="e">
        <f>AND('Surface Coating'!O2,"AAAAAA/d9oo=")</f>
        <v>#VALUE!</v>
      </c>
      <c r="EJ44" t="e">
        <f>AND('Surface Coating'!P2,"AAAAAA/d9os=")</f>
        <v>#VALUE!</v>
      </c>
      <c r="EK44" t="e">
        <f>AND('Surface Coating'!Q2,"AAAAAA/d9ow=")</f>
        <v>#VALUE!</v>
      </c>
      <c r="EL44" t="e">
        <f>AND('Surface Coating'!R2,"AAAAAA/d9o0=")</f>
        <v>#VALUE!</v>
      </c>
      <c r="EM44" t="e">
        <f>AND('Surface Coating'!S2,"AAAAAA/d9o4=")</f>
        <v>#VALUE!</v>
      </c>
      <c r="EN44" t="e">
        <f>AND('Surface Coating'!T2,"AAAAAA/d9o8=")</f>
        <v>#VALUE!</v>
      </c>
      <c r="EO44" t="e">
        <f>AND('Surface Coating'!U2,"AAAAAA/d9pA=")</f>
        <v>#VALUE!</v>
      </c>
      <c r="EP44" t="e">
        <f>AND('Surface Coating'!V2,"AAAAAA/d9pE=")</f>
        <v>#VALUE!</v>
      </c>
      <c r="EQ44" t="e">
        <f>AND('Surface Coating'!W2,"AAAAAA/d9pI=")</f>
        <v>#VALUE!</v>
      </c>
      <c r="ER44" t="e">
        <f>AND('Surface Coating'!X2,"AAAAAA/d9pM=")</f>
        <v>#VALUE!</v>
      </c>
      <c r="ES44" t="e">
        <f>AND('Surface Coating'!Y2,"AAAAAA/d9pQ=")</f>
        <v>#VALUE!</v>
      </c>
      <c r="ET44" t="e">
        <f>IF('Surface Coating'!#REF!,"AAAAAA/d9pU=",0)</f>
        <v>#REF!</v>
      </c>
      <c r="EU44" t="e">
        <f>AND('Surface Coating'!#REF!,"AAAAAA/d9pY=")</f>
        <v>#REF!</v>
      </c>
      <c r="EV44" t="e">
        <f>AND('Surface Coating'!#REF!,"AAAAAA/d9pc=")</f>
        <v>#REF!</v>
      </c>
      <c r="EW44" t="e">
        <f>AND('Surface Coating'!#REF!,"AAAAAA/d9pg=")</f>
        <v>#REF!</v>
      </c>
      <c r="EX44" t="e">
        <f>AND('Surface Coating'!#REF!,"AAAAAA/d9pk=")</f>
        <v>#REF!</v>
      </c>
      <c r="EY44" t="e">
        <f>AND('Surface Coating'!#REF!,"AAAAAA/d9po=")</f>
        <v>#REF!</v>
      </c>
      <c r="EZ44" t="e">
        <f>AND('Surface Coating'!#REF!,"AAAAAA/d9ps=")</f>
        <v>#REF!</v>
      </c>
      <c r="FA44" t="e">
        <f>AND('Surface Coating'!#REF!,"AAAAAA/d9pw=")</f>
        <v>#REF!</v>
      </c>
      <c r="FB44" t="e">
        <f>AND('Surface Coating'!#REF!,"AAAAAA/d9p0=")</f>
        <v>#REF!</v>
      </c>
      <c r="FC44" t="e">
        <f>AND('Surface Coating'!#REF!,"AAAAAA/d9p4=")</f>
        <v>#REF!</v>
      </c>
      <c r="FD44" t="e">
        <f>AND('Surface Coating'!#REF!,"AAAAAA/d9p8=")</f>
        <v>#REF!</v>
      </c>
      <c r="FE44" t="e">
        <f>AND('Surface Coating'!#REF!,"AAAAAA/d9qA=")</f>
        <v>#REF!</v>
      </c>
      <c r="FF44" t="e">
        <f>AND('Surface Coating'!#REF!,"AAAAAA/d9qE=")</f>
        <v>#REF!</v>
      </c>
      <c r="FG44" t="e">
        <f>AND('Surface Coating'!#REF!,"AAAAAA/d9qI=")</f>
        <v>#REF!</v>
      </c>
      <c r="FH44" t="e">
        <f>AND('Surface Coating'!#REF!,"AAAAAA/d9qM=")</f>
        <v>#REF!</v>
      </c>
      <c r="FI44" t="e">
        <f>AND('Surface Coating'!#REF!,"AAAAAA/d9qQ=")</f>
        <v>#REF!</v>
      </c>
      <c r="FJ44" t="e">
        <f>AND('Surface Coating'!#REF!,"AAAAAA/d9qU=")</f>
        <v>#REF!</v>
      </c>
      <c r="FK44" t="e">
        <f>AND('Surface Coating'!#REF!,"AAAAAA/d9qY=")</f>
        <v>#REF!</v>
      </c>
      <c r="FL44" t="e">
        <f>AND('Surface Coating'!#REF!,"AAAAAA/d9qc=")</f>
        <v>#REF!</v>
      </c>
      <c r="FM44" t="e">
        <f>AND('Surface Coating'!#REF!,"AAAAAA/d9qg=")</f>
        <v>#REF!</v>
      </c>
      <c r="FN44" t="e">
        <f>AND('Surface Coating'!#REF!,"AAAAAA/d9qk=")</f>
        <v>#REF!</v>
      </c>
      <c r="FO44" t="e">
        <f>AND('Surface Coating'!#REF!,"AAAAAA/d9qo=")</f>
        <v>#REF!</v>
      </c>
      <c r="FP44" t="e">
        <f>AND('Surface Coating'!#REF!,"AAAAAA/d9qs=")</f>
        <v>#REF!</v>
      </c>
      <c r="FQ44" t="e">
        <f>AND('Surface Coating'!#REF!,"AAAAAA/d9qw=")</f>
        <v>#REF!</v>
      </c>
      <c r="FR44" t="e">
        <f>AND('Surface Coating'!#REF!,"AAAAAA/d9q0=")</f>
        <v>#REF!</v>
      </c>
      <c r="FS44" t="e">
        <f>AND('Surface Coating'!#REF!,"AAAAAA/d9q4=")</f>
        <v>#REF!</v>
      </c>
      <c r="FT44">
        <f>IF('Surface Coating'!3:3,"AAAAAA/d9q8=",0)</f>
        <v>0</v>
      </c>
      <c r="FU44" t="e">
        <f>AND('Surface Coating'!A3,"AAAAAA/d9rA=")</f>
        <v>#VALUE!</v>
      </c>
      <c r="FV44" t="e">
        <f>AND('Surface Coating'!B3,"AAAAAA/d9rE=")</f>
        <v>#VALUE!</v>
      </c>
      <c r="FW44" t="e">
        <f>AND('Surface Coating'!C3,"AAAAAA/d9rI=")</f>
        <v>#VALUE!</v>
      </c>
      <c r="FX44" t="e">
        <f>AND('Surface Coating'!D3,"AAAAAA/d9rM=")</f>
        <v>#VALUE!</v>
      </c>
      <c r="FY44" t="e">
        <f>AND('Surface Coating'!E3,"AAAAAA/d9rQ=")</f>
        <v>#VALUE!</v>
      </c>
      <c r="FZ44" t="e">
        <f>AND('Surface Coating'!F3,"AAAAAA/d9rU=")</f>
        <v>#VALUE!</v>
      </c>
      <c r="GA44" t="e">
        <f>AND('Surface Coating'!G3,"AAAAAA/d9rY=")</f>
        <v>#VALUE!</v>
      </c>
      <c r="GB44" t="e">
        <f>AND('Surface Coating'!H3,"AAAAAA/d9rc=")</f>
        <v>#VALUE!</v>
      </c>
      <c r="GC44" t="e">
        <f>AND('Surface Coating'!I3,"AAAAAA/d9rg=")</f>
        <v>#VALUE!</v>
      </c>
      <c r="GD44" t="e">
        <f>AND('Surface Coating'!J3,"AAAAAA/d9rk=")</f>
        <v>#VALUE!</v>
      </c>
      <c r="GE44" t="e">
        <f>AND('Surface Coating'!K3,"AAAAAA/d9ro=")</f>
        <v>#VALUE!</v>
      </c>
      <c r="GF44" t="e">
        <f>AND('Surface Coating'!L3,"AAAAAA/d9rs=")</f>
        <v>#VALUE!</v>
      </c>
      <c r="GG44" t="e">
        <f>AND('Surface Coating'!M3,"AAAAAA/d9rw=")</f>
        <v>#VALUE!</v>
      </c>
      <c r="GH44" t="e">
        <f>AND('Surface Coating'!N3,"AAAAAA/d9r0=")</f>
        <v>#VALUE!</v>
      </c>
      <c r="GI44" t="e">
        <f>AND('Surface Coating'!O3,"AAAAAA/d9r4=")</f>
        <v>#VALUE!</v>
      </c>
      <c r="GJ44" t="e">
        <f>AND('Surface Coating'!P3,"AAAAAA/d9r8=")</f>
        <v>#VALUE!</v>
      </c>
      <c r="GK44" t="e">
        <f>AND('Surface Coating'!Q3,"AAAAAA/d9sA=")</f>
        <v>#VALUE!</v>
      </c>
      <c r="GL44" t="e">
        <f>AND('Surface Coating'!R3,"AAAAAA/d9sE=")</f>
        <v>#VALUE!</v>
      </c>
      <c r="GM44" t="e">
        <f>AND('Surface Coating'!S3,"AAAAAA/d9sI=")</f>
        <v>#VALUE!</v>
      </c>
      <c r="GN44" t="e">
        <f>AND('Surface Coating'!T3,"AAAAAA/d9sM=")</f>
        <v>#VALUE!</v>
      </c>
      <c r="GO44" t="e">
        <f>AND('Surface Coating'!U3,"AAAAAA/d9sQ=")</f>
        <v>#VALUE!</v>
      </c>
      <c r="GP44" t="e">
        <f>AND('Surface Coating'!V3,"AAAAAA/d9sU=")</f>
        <v>#VALUE!</v>
      </c>
      <c r="GQ44" t="e">
        <f>AND('Surface Coating'!W3,"AAAAAA/d9sY=")</f>
        <v>#VALUE!</v>
      </c>
      <c r="GR44" t="e">
        <f>AND('Surface Coating'!X3,"AAAAAA/d9sc=")</f>
        <v>#VALUE!</v>
      </c>
      <c r="GS44" t="e">
        <f>AND('Surface Coating'!Y3,"AAAAAA/d9sg=")</f>
        <v>#VALUE!</v>
      </c>
      <c r="GT44">
        <f>IF('Surface Coating'!4:4,"AAAAAA/d9sk=",0)</f>
        <v>0</v>
      </c>
      <c r="GU44" t="e">
        <f>AND('Surface Coating'!A4,"AAAAAA/d9so=")</f>
        <v>#VALUE!</v>
      </c>
      <c r="GV44" t="e">
        <f>AND('Surface Coating'!B4,"AAAAAA/d9ss=")</f>
        <v>#VALUE!</v>
      </c>
      <c r="GW44" t="e">
        <f>AND('Surface Coating'!C4,"AAAAAA/d9sw=")</f>
        <v>#VALUE!</v>
      </c>
      <c r="GX44" t="e">
        <f>AND('Surface Coating'!D4,"AAAAAA/d9s0=")</f>
        <v>#VALUE!</v>
      </c>
      <c r="GY44" t="e">
        <f>AND('Surface Coating'!E4,"AAAAAA/d9s4=")</f>
        <v>#VALUE!</v>
      </c>
      <c r="GZ44" t="e">
        <f>AND('Surface Coating'!F4,"AAAAAA/d9s8=")</f>
        <v>#VALUE!</v>
      </c>
      <c r="HA44" t="e">
        <f>AND('Surface Coating'!G4,"AAAAAA/d9tA=")</f>
        <v>#VALUE!</v>
      </c>
      <c r="HB44" t="e">
        <f>AND('Surface Coating'!H4,"AAAAAA/d9tE=")</f>
        <v>#VALUE!</v>
      </c>
      <c r="HC44" t="e">
        <f>AND('Surface Coating'!I4,"AAAAAA/d9tI=")</f>
        <v>#VALUE!</v>
      </c>
      <c r="HD44" t="e">
        <f>AND('Surface Coating'!J4,"AAAAAA/d9tM=")</f>
        <v>#VALUE!</v>
      </c>
      <c r="HE44" t="e">
        <f>AND('Surface Coating'!K4,"AAAAAA/d9tQ=")</f>
        <v>#VALUE!</v>
      </c>
      <c r="HF44" t="e">
        <f>AND('Surface Coating'!L4,"AAAAAA/d9tU=")</f>
        <v>#VALUE!</v>
      </c>
      <c r="HG44" t="e">
        <f>AND('Surface Coating'!M4,"AAAAAA/d9tY=")</f>
        <v>#VALUE!</v>
      </c>
      <c r="HH44" t="e">
        <f>AND('Surface Coating'!N4,"AAAAAA/d9tc=")</f>
        <v>#VALUE!</v>
      </c>
      <c r="HI44" t="e">
        <f>AND('Surface Coating'!O4,"AAAAAA/d9tg=")</f>
        <v>#VALUE!</v>
      </c>
      <c r="HJ44" t="e">
        <f>AND('Surface Coating'!P4,"AAAAAA/d9tk=")</f>
        <v>#VALUE!</v>
      </c>
      <c r="HK44" t="e">
        <f>AND('Surface Coating'!Q4,"AAAAAA/d9to=")</f>
        <v>#VALUE!</v>
      </c>
      <c r="HL44" t="e">
        <f>AND('Surface Coating'!R4,"AAAAAA/d9ts=")</f>
        <v>#VALUE!</v>
      </c>
      <c r="HM44" t="e">
        <f>AND('Surface Coating'!S4,"AAAAAA/d9tw=")</f>
        <v>#VALUE!</v>
      </c>
      <c r="HN44" t="e">
        <f>AND('Surface Coating'!T4,"AAAAAA/d9t0=")</f>
        <v>#VALUE!</v>
      </c>
      <c r="HO44" t="e">
        <f>AND('Surface Coating'!U4,"AAAAAA/d9t4=")</f>
        <v>#VALUE!</v>
      </c>
      <c r="HP44" t="e">
        <f>AND('Surface Coating'!V4,"AAAAAA/d9t8=")</f>
        <v>#VALUE!</v>
      </c>
      <c r="HQ44" t="e">
        <f>AND('Surface Coating'!W4,"AAAAAA/d9uA=")</f>
        <v>#VALUE!</v>
      </c>
      <c r="HR44" t="e">
        <f>AND('Surface Coating'!X4,"AAAAAA/d9uE=")</f>
        <v>#VALUE!</v>
      </c>
      <c r="HS44" t="e">
        <f>AND('Surface Coating'!Y4,"AAAAAA/d9uI=")</f>
        <v>#VALUE!</v>
      </c>
      <c r="HT44" t="e">
        <f>IF('Surface Coating'!#REF!,"AAAAAA/d9uM=",0)</f>
        <v>#REF!</v>
      </c>
      <c r="HU44" t="e">
        <f>AND('Surface Coating'!#REF!,"AAAAAA/d9uQ=")</f>
        <v>#REF!</v>
      </c>
      <c r="HV44" t="e">
        <f>AND('Surface Coating'!#REF!,"AAAAAA/d9uU=")</f>
        <v>#REF!</v>
      </c>
      <c r="HW44" t="e">
        <f>AND('Surface Coating'!#REF!,"AAAAAA/d9uY=")</f>
        <v>#REF!</v>
      </c>
      <c r="HX44" t="e">
        <f>AND('Surface Coating'!#REF!,"AAAAAA/d9uc=")</f>
        <v>#REF!</v>
      </c>
      <c r="HY44" t="e">
        <f>AND('Surface Coating'!#REF!,"AAAAAA/d9ug=")</f>
        <v>#REF!</v>
      </c>
      <c r="HZ44" t="e">
        <f>AND('Surface Coating'!#REF!,"AAAAAA/d9uk=")</f>
        <v>#REF!</v>
      </c>
      <c r="IA44" t="e">
        <f>AND('Surface Coating'!#REF!,"AAAAAA/d9uo=")</f>
        <v>#REF!</v>
      </c>
      <c r="IB44" t="e">
        <f>AND('Surface Coating'!E5,"AAAAAA/d9us=")</f>
        <v>#VALUE!</v>
      </c>
      <c r="IC44" t="e">
        <f>AND('Surface Coating'!#REF!,"AAAAAA/d9uw=")</f>
        <v>#REF!</v>
      </c>
      <c r="ID44" t="e">
        <f>AND('Surface Coating'!#REF!,"AAAAAA/d9u0=")</f>
        <v>#REF!</v>
      </c>
      <c r="IE44" t="e">
        <f>AND('Surface Coating'!#REF!,"AAAAAA/d9u4=")</f>
        <v>#REF!</v>
      </c>
      <c r="IF44" t="e">
        <f>AND('Surface Coating'!#REF!,"AAAAAA/d9u8=")</f>
        <v>#REF!</v>
      </c>
      <c r="IG44" t="e">
        <f>AND('Surface Coating'!#REF!,"AAAAAA/d9vA=")</f>
        <v>#REF!</v>
      </c>
      <c r="IH44" t="e">
        <f>AND('Surface Coating'!#REF!,"AAAAAA/d9vE=")</f>
        <v>#REF!</v>
      </c>
      <c r="II44" t="e">
        <f>AND('Surface Coating'!#REF!,"AAAAAA/d9vI=")</f>
        <v>#REF!</v>
      </c>
      <c r="IJ44" t="e">
        <f>AND('Surface Coating'!#REF!,"AAAAAA/d9vM=")</f>
        <v>#REF!</v>
      </c>
      <c r="IK44" t="e">
        <f>AND('Surface Coating'!#REF!,"AAAAAA/d9vQ=")</f>
        <v>#REF!</v>
      </c>
      <c r="IL44" t="e">
        <f>AND('Surface Coating'!#REF!,"AAAAAA/d9vU=")</f>
        <v>#REF!</v>
      </c>
      <c r="IM44" t="e">
        <f>AND('Surface Coating'!#REF!,"AAAAAA/d9vY=")</f>
        <v>#REF!</v>
      </c>
      <c r="IN44" t="e">
        <f>AND('Surface Coating'!#REF!,"AAAAAA/d9vc=")</f>
        <v>#REF!</v>
      </c>
      <c r="IO44" t="e">
        <f>AND('Surface Coating'!#REF!,"AAAAAA/d9vg=")</f>
        <v>#REF!</v>
      </c>
      <c r="IP44" t="e">
        <f>AND('Surface Coating'!#REF!,"AAAAAA/d9vk=")</f>
        <v>#REF!</v>
      </c>
      <c r="IQ44" t="e">
        <f>AND('Surface Coating'!#REF!,"AAAAAA/d9vo=")</f>
        <v>#REF!</v>
      </c>
      <c r="IR44" t="e">
        <f>AND('Surface Coating'!#REF!,"AAAAAA/d9vs=")</f>
        <v>#REF!</v>
      </c>
      <c r="IS44" t="e">
        <f>AND('Surface Coating'!#REF!,"AAAAAA/d9vw=")</f>
        <v>#REF!</v>
      </c>
      <c r="IT44">
        <f>IF('Surface Coating'!5:5,"AAAAAA/d9v0=",0)</f>
        <v>0</v>
      </c>
      <c r="IU44" t="e">
        <f>AND('Surface Coating'!A5,"AAAAAA/d9v4=")</f>
        <v>#VALUE!</v>
      </c>
      <c r="IV44" t="e">
        <f>AND('Surface Coating'!B5,"AAAAAA/d9v8=")</f>
        <v>#VALUE!</v>
      </c>
    </row>
    <row r="45" spans="1:256">
      <c r="A45" t="e">
        <f>AND('Surface Coating'!C5,"AAAAAGX//wA=")</f>
        <v>#VALUE!</v>
      </c>
      <c r="B45" t="e">
        <f>AND('Surface Coating'!D5,"AAAAAGX//wE=")</f>
        <v>#VALUE!</v>
      </c>
      <c r="C45" t="e">
        <f>AND('Surface Coating'!#REF!,"AAAAAGX//wI=")</f>
        <v>#REF!</v>
      </c>
      <c r="D45" t="e">
        <f>AND('Surface Coating'!F5,"AAAAAGX//wM=")</f>
        <v>#VALUE!</v>
      </c>
      <c r="E45" t="e">
        <f>AND('Surface Coating'!G5,"AAAAAGX//wQ=")</f>
        <v>#VALUE!</v>
      </c>
      <c r="F45" t="e">
        <f>AND('Surface Coating'!E6,"AAAAAGX//wU=")</f>
        <v>#VALUE!</v>
      </c>
      <c r="G45" t="e">
        <f>AND('Surface Coating'!I5,"AAAAAGX//wY=")</f>
        <v>#VALUE!</v>
      </c>
      <c r="H45" t="e">
        <f>AND('Surface Coating'!J5,"AAAAAGX//wc=")</f>
        <v>#VALUE!</v>
      </c>
      <c r="I45" t="e">
        <f>AND('Surface Coating'!K5,"AAAAAGX//wg=")</f>
        <v>#VALUE!</v>
      </c>
      <c r="J45" t="e">
        <f>AND('Surface Coating'!L5,"AAAAAGX//wk=")</f>
        <v>#VALUE!</v>
      </c>
      <c r="K45" t="e">
        <f>AND('Surface Coating'!M5,"AAAAAGX//wo=")</f>
        <v>#VALUE!</v>
      </c>
      <c r="L45" t="e">
        <f>AND('Surface Coating'!N5,"AAAAAGX//ws=")</f>
        <v>#VALUE!</v>
      </c>
      <c r="M45" t="e">
        <f>AND('Surface Coating'!O5,"AAAAAGX//ww=")</f>
        <v>#VALUE!</v>
      </c>
      <c r="N45" t="e">
        <f>AND('Surface Coating'!P5,"AAAAAGX//w0=")</f>
        <v>#VALUE!</v>
      </c>
      <c r="O45" t="e">
        <f>AND('Surface Coating'!Q5,"AAAAAGX//w4=")</f>
        <v>#VALUE!</v>
      </c>
      <c r="P45" t="e">
        <f>AND('Surface Coating'!R5,"AAAAAGX//w8=")</f>
        <v>#VALUE!</v>
      </c>
      <c r="Q45" t="e">
        <f>AND('Surface Coating'!S5,"AAAAAGX//xA=")</f>
        <v>#VALUE!</v>
      </c>
      <c r="R45" t="e">
        <f>AND('Surface Coating'!T5,"AAAAAGX//xE=")</f>
        <v>#VALUE!</v>
      </c>
      <c r="S45" t="e">
        <f>AND('Surface Coating'!U5,"AAAAAGX//xI=")</f>
        <v>#VALUE!</v>
      </c>
      <c r="T45" t="e">
        <f>AND('Surface Coating'!V5,"AAAAAGX//xM=")</f>
        <v>#VALUE!</v>
      </c>
      <c r="U45" t="e">
        <f>AND('Surface Coating'!W5,"AAAAAGX//xQ=")</f>
        <v>#VALUE!</v>
      </c>
      <c r="V45" t="e">
        <f>AND('Surface Coating'!X5,"AAAAAGX//xU=")</f>
        <v>#VALUE!</v>
      </c>
      <c r="W45" t="e">
        <f>AND('Surface Coating'!Y5,"AAAAAGX//xY=")</f>
        <v>#VALUE!</v>
      </c>
      <c r="X45">
        <f>IF('Surface Coating'!6:6,"AAAAAGX//xc=",0)</f>
        <v>0</v>
      </c>
      <c r="Y45" t="e">
        <f>AND('Surface Coating'!A6,"AAAAAGX//xg=")</f>
        <v>#VALUE!</v>
      </c>
      <c r="Z45" t="e">
        <f>AND('Surface Coating'!B6,"AAAAAGX//xk=")</f>
        <v>#VALUE!</v>
      </c>
      <c r="AA45" t="e">
        <f>AND('Surface Coating'!C6,"AAAAAGX//xo=")</f>
        <v>#VALUE!</v>
      </c>
      <c r="AB45" t="e">
        <f>AND('Surface Coating'!D6,"AAAAAGX//xs=")</f>
        <v>#VALUE!</v>
      </c>
      <c r="AC45" t="e">
        <f>AND('Surface Coating'!#REF!,"AAAAAGX//xw=")</f>
        <v>#REF!</v>
      </c>
      <c r="AD45" t="e">
        <f>AND('Surface Coating'!F6,"AAAAAGX//x0=")</f>
        <v>#VALUE!</v>
      </c>
      <c r="AE45" t="e">
        <f>AND('Surface Coating'!G6,"AAAAAGX//x4=")</f>
        <v>#VALUE!</v>
      </c>
      <c r="AF45" t="e">
        <f>AND('Surface Coating'!#REF!,"AAAAAGX//x8=")</f>
        <v>#REF!</v>
      </c>
      <c r="AG45" t="e">
        <f>AND('Surface Coating'!I6,"AAAAAGX//yA=")</f>
        <v>#VALUE!</v>
      </c>
      <c r="AH45" t="e">
        <f>AND('Surface Coating'!J6,"AAAAAGX//yE=")</f>
        <v>#VALUE!</v>
      </c>
      <c r="AI45" t="e">
        <f>AND('Surface Coating'!K6,"AAAAAGX//yI=")</f>
        <v>#VALUE!</v>
      </c>
      <c r="AJ45" t="e">
        <f>AND('Surface Coating'!L6,"AAAAAGX//yM=")</f>
        <v>#VALUE!</v>
      </c>
      <c r="AK45" t="e">
        <f>AND('Surface Coating'!M6,"AAAAAGX//yQ=")</f>
        <v>#VALUE!</v>
      </c>
      <c r="AL45" t="e">
        <f>AND('Surface Coating'!N6,"AAAAAGX//yU=")</f>
        <v>#VALUE!</v>
      </c>
      <c r="AM45" t="e">
        <f>AND('Surface Coating'!O6,"AAAAAGX//yY=")</f>
        <v>#VALUE!</v>
      </c>
      <c r="AN45" t="e">
        <f>AND('Surface Coating'!P6,"AAAAAGX//yc=")</f>
        <v>#VALUE!</v>
      </c>
      <c r="AO45" t="e">
        <f>AND('Surface Coating'!Q6,"AAAAAGX//yg=")</f>
        <v>#VALUE!</v>
      </c>
      <c r="AP45" t="e">
        <f>AND('Surface Coating'!R6,"AAAAAGX//yk=")</f>
        <v>#VALUE!</v>
      </c>
      <c r="AQ45" t="e">
        <f>AND('Surface Coating'!S6,"AAAAAGX//yo=")</f>
        <v>#VALUE!</v>
      </c>
      <c r="AR45" t="e">
        <f>AND('Surface Coating'!T6,"AAAAAGX//ys=")</f>
        <v>#VALUE!</v>
      </c>
      <c r="AS45" t="e">
        <f>AND('Surface Coating'!U6,"AAAAAGX//yw=")</f>
        <v>#VALUE!</v>
      </c>
      <c r="AT45" t="e">
        <f>AND('Surface Coating'!V6,"AAAAAGX//y0=")</f>
        <v>#VALUE!</v>
      </c>
      <c r="AU45" t="e">
        <f>AND('Surface Coating'!W6,"AAAAAGX//y4=")</f>
        <v>#VALUE!</v>
      </c>
      <c r="AV45" t="e">
        <f>AND('Surface Coating'!X6,"AAAAAGX//y8=")</f>
        <v>#VALUE!</v>
      </c>
      <c r="AW45" t="e">
        <f>AND('Surface Coating'!Y6,"AAAAAGX//zA=")</f>
        <v>#VALUE!</v>
      </c>
      <c r="AX45" t="e">
        <f>IF('Surface Coating'!#REF!,"AAAAAGX//zE=",0)</f>
        <v>#REF!</v>
      </c>
      <c r="AY45" t="e">
        <f>AND('Surface Coating'!#REF!,"AAAAAGX//zI=")</f>
        <v>#REF!</v>
      </c>
      <c r="AZ45" t="e">
        <f>AND('Surface Coating'!#REF!,"AAAAAGX//zM=")</f>
        <v>#REF!</v>
      </c>
      <c r="BA45" t="e">
        <f>AND('Surface Coating'!#REF!,"AAAAAGX//zQ=")</f>
        <v>#REF!</v>
      </c>
      <c r="BB45" t="e">
        <f>AND('Surface Coating'!#REF!,"AAAAAGX//zU=")</f>
        <v>#REF!</v>
      </c>
      <c r="BC45" t="e">
        <f>AND('Surface Coating'!#REF!,"AAAAAGX//zY=")</f>
        <v>#REF!</v>
      </c>
      <c r="BD45" t="e">
        <f>AND('Surface Coating'!#REF!,"AAAAAGX//zc=")</f>
        <v>#REF!</v>
      </c>
      <c r="BE45" t="e">
        <f>AND('Surface Coating'!#REF!,"AAAAAGX//zg=")</f>
        <v>#REF!</v>
      </c>
      <c r="BF45" t="e">
        <f>AND('Surface Coating'!#REF!,"AAAAAGX//zk=")</f>
        <v>#REF!</v>
      </c>
      <c r="BG45" t="e">
        <f>AND('Surface Coating'!#REF!,"AAAAAGX//zo=")</f>
        <v>#REF!</v>
      </c>
      <c r="BH45" t="e">
        <f>AND('Surface Coating'!#REF!,"AAAAAGX//zs=")</f>
        <v>#REF!</v>
      </c>
      <c r="BI45" t="e">
        <f>AND('Surface Coating'!#REF!,"AAAAAGX//zw=")</f>
        <v>#REF!</v>
      </c>
      <c r="BJ45" t="e">
        <f>AND('Surface Coating'!#REF!,"AAAAAGX//z0=")</f>
        <v>#REF!</v>
      </c>
      <c r="BK45" t="e">
        <f>AND('Surface Coating'!#REF!,"AAAAAGX//z4=")</f>
        <v>#REF!</v>
      </c>
      <c r="BL45" t="e">
        <f>AND('Surface Coating'!#REF!,"AAAAAGX//z8=")</f>
        <v>#REF!</v>
      </c>
      <c r="BM45" t="e">
        <f>AND('Surface Coating'!#REF!,"AAAAAGX//0A=")</f>
        <v>#REF!</v>
      </c>
      <c r="BN45" t="e">
        <f>AND('Surface Coating'!#REF!,"AAAAAGX//0E=")</f>
        <v>#REF!</v>
      </c>
      <c r="BO45" t="e">
        <f>AND('Surface Coating'!#REF!,"AAAAAGX//0I=")</f>
        <v>#REF!</v>
      </c>
      <c r="BP45" t="e">
        <f>AND('Surface Coating'!#REF!,"AAAAAGX//0M=")</f>
        <v>#REF!</v>
      </c>
      <c r="BQ45" t="e">
        <f>AND('Surface Coating'!#REF!,"AAAAAGX//0Q=")</f>
        <v>#REF!</v>
      </c>
      <c r="BR45" t="e">
        <f>AND('Surface Coating'!#REF!,"AAAAAGX//0U=")</f>
        <v>#REF!</v>
      </c>
      <c r="BS45" t="e">
        <f>AND('Surface Coating'!#REF!,"AAAAAGX//0Y=")</f>
        <v>#REF!</v>
      </c>
      <c r="BT45" t="e">
        <f>AND('Surface Coating'!#REF!,"AAAAAGX//0c=")</f>
        <v>#REF!</v>
      </c>
      <c r="BU45" t="e">
        <f>AND('Surface Coating'!#REF!,"AAAAAGX//0g=")</f>
        <v>#REF!</v>
      </c>
      <c r="BV45" t="e">
        <f>AND('Surface Coating'!#REF!,"AAAAAGX//0k=")</f>
        <v>#REF!</v>
      </c>
      <c r="BW45" t="e">
        <f>AND('Surface Coating'!#REF!,"AAAAAGX//0o=")</f>
        <v>#REF!</v>
      </c>
      <c r="BX45" t="e">
        <f>IF('Surface Coating'!#REF!,"AAAAAGX//0s=",0)</f>
        <v>#REF!</v>
      </c>
      <c r="BY45" t="e">
        <f>AND('Surface Coating'!#REF!,"AAAAAGX//0w=")</f>
        <v>#REF!</v>
      </c>
      <c r="BZ45" t="e">
        <f>AND('Surface Coating'!#REF!,"AAAAAGX//00=")</f>
        <v>#REF!</v>
      </c>
      <c r="CA45" t="e">
        <f>AND('Surface Coating'!#REF!,"AAAAAGX//04=")</f>
        <v>#REF!</v>
      </c>
      <c r="CB45" t="e">
        <f>AND('Surface Coating'!#REF!,"AAAAAGX//08=")</f>
        <v>#REF!</v>
      </c>
      <c r="CC45" t="e">
        <f>AND('Surface Coating'!#REF!,"AAAAAGX//1A=")</f>
        <v>#REF!</v>
      </c>
      <c r="CD45" t="e">
        <f>AND('Surface Coating'!#REF!,"AAAAAGX//1E=")</f>
        <v>#REF!</v>
      </c>
      <c r="CE45" t="e">
        <f>AND('Surface Coating'!#REF!,"AAAAAGX//1I=")</f>
        <v>#REF!</v>
      </c>
      <c r="CF45" t="e">
        <f>AND('Surface Coating'!#REF!,"AAAAAGX//1M=")</f>
        <v>#REF!</v>
      </c>
      <c r="CG45" t="e">
        <f>AND('Surface Coating'!#REF!,"AAAAAGX//1Q=")</f>
        <v>#REF!</v>
      </c>
      <c r="CH45" t="e">
        <f>AND('Surface Coating'!#REF!,"AAAAAGX//1U=")</f>
        <v>#REF!</v>
      </c>
      <c r="CI45" t="e">
        <f>AND('Surface Coating'!#REF!,"AAAAAGX//1Y=")</f>
        <v>#REF!</v>
      </c>
      <c r="CJ45" t="e">
        <f>AND('Surface Coating'!#REF!,"AAAAAGX//1c=")</f>
        <v>#REF!</v>
      </c>
      <c r="CK45" t="e">
        <f>AND('Surface Coating'!#REF!,"AAAAAGX//1g=")</f>
        <v>#REF!</v>
      </c>
      <c r="CL45" t="e">
        <f>AND('Surface Coating'!#REF!,"AAAAAGX//1k=")</f>
        <v>#REF!</v>
      </c>
      <c r="CM45" t="e">
        <f>AND('Surface Coating'!#REF!,"AAAAAGX//1o=")</f>
        <v>#REF!</v>
      </c>
      <c r="CN45" t="e">
        <f>AND('Surface Coating'!#REF!,"AAAAAGX//1s=")</f>
        <v>#REF!</v>
      </c>
      <c r="CO45" t="e">
        <f>AND('Surface Coating'!#REF!,"AAAAAGX//1w=")</f>
        <v>#REF!</v>
      </c>
      <c r="CP45" t="e">
        <f>AND('Surface Coating'!#REF!,"AAAAAGX//10=")</f>
        <v>#REF!</v>
      </c>
      <c r="CQ45" t="e">
        <f>AND('Surface Coating'!#REF!,"AAAAAGX//14=")</f>
        <v>#REF!</v>
      </c>
      <c r="CR45" t="e">
        <f>AND('Surface Coating'!#REF!,"AAAAAGX//18=")</f>
        <v>#REF!</v>
      </c>
      <c r="CS45" t="e">
        <f>AND('Surface Coating'!#REF!,"AAAAAGX//2A=")</f>
        <v>#REF!</v>
      </c>
      <c r="CT45" t="e">
        <f>AND('Surface Coating'!#REF!,"AAAAAGX//2E=")</f>
        <v>#REF!</v>
      </c>
      <c r="CU45" t="e">
        <f>AND('Surface Coating'!#REF!,"AAAAAGX//2I=")</f>
        <v>#REF!</v>
      </c>
      <c r="CV45" t="e">
        <f>AND('Surface Coating'!#REF!,"AAAAAGX//2M=")</f>
        <v>#REF!</v>
      </c>
      <c r="CW45" t="e">
        <f>AND('Surface Coating'!#REF!,"AAAAAGX//2Q=")</f>
        <v>#REF!</v>
      </c>
      <c r="CX45" t="e">
        <f>IF('Surface Coating'!#REF!,"AAAAAGX//2U=",0)</f>
        <v>#REF!</v>
      </c>
      <c r="CY45" t="e">
        <f>AND('Surface Coating'!#REF!,"AAAAAGX//2Y=")</f>
        <v>#REF!</v>
      </c>
      <c r="CZ45" t="e">
        <f>AND('Surface Coating'!#REF!,"AAAAAGX//2c=")</f>
        <v>#REF!</v>
      </c>
      <c r="DA45" t="e">
        <f>AND('Surface Coating'!#REF!,"AAAAAGX//2g=")</f>
        <v>#REF!</v>
      </c>
      <c r="DB45" t="e">
        <f>AND('Surface Coating'!#REF!,"AAAAAGX//2k=")</f>
        <v>#REF!</v>
      </c>
      <c r="DC45" t="e">
        <f>AND('Surface Coating'!#REF!,"AAAAAGX//2o=")</f>
        <v>#REF!</v>
      </c>
      <c r="DD45" t="e">
        <f>AND('Surface Coating'!#REF!,"AAAAAGX//2s=")</f>
        <v>#REF!</v>
      </c>
      <c r="DE45" t="e">
        <f>AND('Surface Coating'!#REF!,"AAAAAGX//2w=")</f>
        <v>#REF!</v>
      </c>
      <c r="DF45" t="e">
        <f>AND('Surface Coating'!#REF!,"AAAAAGX//20=")</f>
        <v>#REF!</v>
      </c>
      <c r="DG45" t="e">
        <f>AND('Surface Coating'!#REF!,"AAAAAGX//24=")</f>
        <v>#REF!</v>
      </c>
      <c r="DH45" t="e">
        <f>AND('Surface Coating'!#REF!,"AAAAAGX//28=")</f>
        <v>#REF!</v>
      </c>
      <c r="DI45" t="e">
        <f>AND('Surface Coating'!#REF!,"AAAAAGX//3A=")</f>
        <v>#REF!</v>
      </c>
      <c r="DJ45" t="e">
        <f>AND('Surface Coating'!#REF!,"AAAAAGX//3E=")</f>
        <v>#REF!</v>
      </c>
      <c r="DK45" t="e">
        <f>AND('Surface Coating'!#REF!,"AAAAAGX//3I=")</f>
        <v>#REF!</v>
      </c>
      <c r="DL45" t="e">
        <f>AND('Surface Coating'!#REF!,"AAAAAGX//3M=")</f>
        <v>#REF!</v>
      </c>
      <c r="DM45" t="e">
        <f>AND('Surface Coating'!#REF!,"AAAAAGX//3Q=")</f>
        <v>#REF!</v>
      </c>
      <c r="DN45" t="e">
        <f>AND('Surface Coating'!#REF!,"AAAAAGX//3U=")</f>
        <v>#REF!</v>
      </c>
      <c r="DO45" t="e">
        <f>AND('Surface Coating'!#REF!,"AAAAAGX//3Y=")</f>
        <v>#REF!</v>
      </c>
      <c r="DP45" t="e">
        <f>AND('Surface Coating'!#REF!,"AAAAAGX//3c=")</f>
        <v>#REF!</v>
      </c>
      <c r="DQ45" t="e">
        <f>AND('Surface Coating'!#REF!,"AAAAAGX//3g=")</f>
        <v>#REF!</v>
      </c>
      <c r="DR45" t="e">
        <f>AND('Surface Coating'!#REF!,"AAAAAGX//3k=")</f>
        <v>#REF!</v>
      </c>
      <c r="DS45" t="e">
        <f>AND('Surface Coating'!#REF!,"AAAAAGX//3o=")</f>
        <v>#REF!</v>
      </c>
      <c r="DT45" t="e">
        <f>AND('Surface Coating'!#REF!,"AAAAAGX//3s=")</f>
        <v>#REF!</v>
      </c>
      <c r="DU45" t="e">
        <f>AND('Surface Coating'!#REF!,"AAAAAGX//3w=")</f>
        <v>#REF!</v>
      </c>
      <c r="DV45" t="e">
        <f>AND('Surface Coating'!#REF!,"AAAAAGX//30=")</f>
        <v>#REF!</v>
      </c>
      <c r="DW45" t="e">
        <f>AND('Surface Coating'!#REF!,"AAAAAGX//34=")</f>
        <v>#REF!</v>
      </c>
      <c r="DX45" t="e">
        <f>IF('Surface Coating'!#REF!,"AAAAAGX//38=",0)</f>
        <v>#REF!</v>
      </c>
      <c r="DY45" t="e">
        <f>AND('Surface Coating'!#REF!,"AAAAAGX//4A=")</f>
        <v>#REF!</v>
      </c>
      <c r="DZ45" t="e">
        <f>AND('Surface Coating'!#REF!,"AAAAAGX//4E=")</f>
        <v>#REF!</v>
      </c>
      <c r="EA45" t="e">
        <f>AND('Surface Coating'!#REF!,"AAAAAGX//4I=")</f>
        <v>#REF!</v>
      </c>
      <c r="EB45" t="e">
        <f>AND('Surface Coating'!#REF!,"AAAAAGX//4M=")</f>
        <v>#REF!</v>
      </c>
      <c r="EC45" t="e">
        <f>AND('Surface Coating'!#REF!,"AAAAAGX//4Q=")</f>
        <v>#REF!</v>
      </c>
      <c r="ED45" t="e">
        <f>AND('Surface Coating'!#REF!,"AAAAAGX//4U=")</f>
        <v>#REF!</v>
      </c>
      <c r="EE45" t="e">
        <f>AND('Surface Coating'!#REF!,"AAAAAGX//4Y=")</f>
        <v>#REF!</v>
      </c>
      <c r="EF45" t="e">
        <f>AND('Surface Coating'!#REF!,"AAAAAGX//4c=")</f>
        <v>#REF!</v>
      </c>
      <c r="EG45" t="e">
        <f>AND('Surface Coating'!#REF!,"AAAAAGX//4g=")</f>
        <v>#REF!</v>
      </c>
      <c r="EH45" t="e">
        <f>AND('Surface Coating'!#REF!,"AAAAAGX//4k=")</f>
        <v>#REF!</v>
      </c>
      <c r="EI45" t="e">
        <f>AND('Surface Coating'!#REF!,"AAAAAGX//4o=")</f>
        <v>#REF!</v>
      </c>
      <c r="EJ45" t="e">
        <f>AND('Surface Coating'!#REF!,"AAAAAGX//4s=")</f>
        <v>#REF!</v>
      </c>
      <c r="EK45" t="e">
        <f>AND('Surface Coating'!#REF!,"AAAAAGX//4w=")</f>
        <v>#REF!</v>
      </c>
      <c r="EL45" t="e">
        <f>AND('Surface Coating'!#REF!,"AAAAAGX//40=")</f>
        <v>#REF!</v>
      </c>
      <c r="EM45" t="e">
        <f>AND('Surface Coating'!#REF!,"AAAAAGX//44=")</f>
        <v>#REF!</v>
      </c>
      <c r="EN45" t="e">
        <f>AND('Surface Coating'!#REF!,"AAAAAGX//48=")</f>
        <v>#REF!</v>
      </c>
      <c r="EO45" t="e">
        <f>AND('Surface Coating'!#REF!,"AAAAAGX//5A=")</f>
        <v>#REF!</v>
      </c>
      <c r="EP45" t="e">
        <f>AND('Surface Coating'!#REF!,"AAAAAGX//5E=")</f>
        <v>#REF!</v>
      </c>
      <c r="EQ45" t="e">
        <f>AND('Surface Coating'!#REF!,"AAAAAGX//5I=")</f>
        <v>#REF!</v>
      </c>
      <c r="ER45" t="e">
        <f>AND('Surface Coating'!#REF!,"AAAAAGX//5M=")</f>
        <v>#REF!</v>
      </c>
      <c r="ES45" t="e">
        <f>AND('Surface Coating'!#REF!,"AAAAAGX//5Q=")</f>
        <v>#REF!</v>
      </c>
      <c r="ET45" t="e">
        <f>AND('Surface Coating'!#REF!,"AAAAAGX//5U=")</f>
        <v>#REF!</v>
      </c>
      <c r="EU45" t="e">
        <f>AND('Surface Coating'!#REF!,"AAAAAGX//5Y=")</f>
        <v>#REF!</v>
      </c>
      <c r="EV45" t="e">
        <f>AND('Surface Coating'!#REF!,"AAAAAGX//5c=")</f>
        <v>#REF!</v>
      </c>
      <c r="EW45" t="e">
        <f>AND('Surface Coating'!#REF!,"AAAAAGX//5g=")</f>
        <v>#REF!</v>
      </c>
      <c r="EX45" t="e">
        <f>IF('Surface Coating'!#REF!,"AAAAAGX//5k=",0)</f>
        <v>#REF!</v>
      </c>
      <c r="EY45" t="e">
        <f>AND('Surface Coating'!#REF!,"AAAAAGX//5o=")</f>
        <v>#REF!</v>
      </c>
      <c r="EZ45" t="e">
        <f>AND('Surface Coating'!#REF!,"AAAAAGX//5s=")</f>
        <v>#REF!</v>
      </c>
      <c r="FA45" t="e">
        <f>AND('Surface Coating'!#REF!,"AAAAAGX//5w=")</f>
        <v>#REF!</v>
      </c>
      <c r="FB45" t="e">
        <f>AND('Surface Coating'!#REF!,"AAAAAGX//50=")</f>
        <v>#REF!</v>
      </c>
      <c r="FC45" t="e">
        <f>AND('Surface Coating'!#REF!,"AAAAAGX//54=")</f>
        <v>#REF!</v>
      </c>
      <c r="FD45" t="e">
        <f>AND('Surface Coating'!#REF!,"AAAAAGX//58=")</f>
        <v>#REF!</v>
      </c>
      <c r="FE45" t="e">
        <f>AND('Surface Coating'!#REF!,"AAAAAGX//6A=")</f>
        <v>#REF!</v>
      </c>
      <c r="FF45" t="e">
        <f>AND('Surface Coating'!#REF!,"AAAAAGX//6E=")</f>
        <v>#REF!</v>
      </c>
      <c r="FG45" t="e">
        <f>AND('Surface Coating'!#REF!,"AAAAAGX//6I=")</f>
        <v>#REF!</v>
      </c>
      <c r="FH45" t="e">
        <f>AND('Surface Coating'!#REF!,"AAAAAGX//6M=")</f>
        <v>#REF!</v>
      </c>
      <c r="FI45" t="e">
        <f>AND('Surface Coating'!#REF!,"AAAAAGX//6Q=")</f>
        <v>#REF!</v>
      </c>
      <c r="FJ45" t="e">
        <f>AND('Surface Coating'!#REF!,"AAAAAGX//6U=")</f>
        <v>#REF!</v>
      </c>
      <c r="FK45" t="e">
        <f>AND('Surface Coating'!#REF!,"AAAAAGX//6Y=")</f>
        <v>#REF!</v>
      </c>
      <c r="FL45" t="e">
        <f>AND('Surface Coating'!#REF!,"AAAAAGX//6c=")</f>
        <v>#REF!</v>
      </c>
      <c r="FM45" t="e">
        <f>AND('Surface Coating'!#REF!,"AAAAAGX//6g=")</f>
        <v>#REF!</v>
      </c>
      <c r="FN45" t="e">
        <f>AND('Surface Coating'!#REF!,"AAAAAGX//6k=")</f>
        <v>#REF!</v>
      </c>
      <c r="FO45" t="e">
        <f>AND('Surface Coating'!#REF!,"AAAAAGX//6o=")</f>
        <v>#REF!</v>
      </c>
      <c r="FP45" t="e">
        <f>AND('Surface Coating'!#REF!,"AAAAAGX//6s=")</f>
        <v>#REF!</v>
      </c>
      <c r="FQ45" t="e">
        <f>AND('Surface Coating'!#REF!,"AAAAAGX//6w=")</f>
        <v>#REF!</v>
      </c>
      <c r="FR45" t="e">
        <f>AND('Surface Coating'!#REF!,"AAAAAGX//60=")</f>
        <v>#REF!</v>
      </c>
      <c r="FS45" t="e">
        <f>AND('Surface Coating'!#REF!,"AAAAAGX//64=")</f>
        <v>#REF!</v>
      </c>
      <c r="FT45" t="e">
        <f>AND('Surface Coating'!#REF!,"AAAAAGX//68=")</f>
        <v>#REF!</v>
      </c>
      <c r="FU45" t="e">
        <f>AND('Surface Coating'!#REF!,"AAAAAGX//7A=")</f>
        <v>#REF!</v>
      </c>
      <c r="FV45" t="e">
        <f>AND('Surface Coating'!#REF!,"AAAAAGX//7E=")</f>
        <v>#REF!</v>
      </c>
      <c r="FW45" t="e">
        <f>AND('Surface Coating'!#REF!,"AAAAAGX//7I=")</f>
        <v>#REF!</v>
      </c>
      <c r="FX45" t="e">
        <f>IF('Surface Coating'!#REF!,"AAAAAGX//7M=",0)</f>
        <v>#REF!</v>
      </c>
      <c r="FY45" t="e">
        <f>AND('Surface Coating'!#REF!,"AAAAAGX//7Q=")</f>
        <v>#REF!</v>
      </c>
      <c r="FZ45" t="e">
        <f>AND('Surface Coating'!#REF!,"AAAAAGX//7U=")</f>
        <v>#REF!</v>
      </c>
      <c r="GA45" t="e">
        <f>AND('Surface Coating'!#REF!,"AAAAAGX//7Y=")</f>
        <v>#REF!</v>
      </c>
      <c r="GB45" t="e">
        <f>AND('Surface Coating'!#REF!,"AAAAAGX//7c=")</f>
        <v>#REF!</v>
      </c>
      <c r="GC45" t="e">
        <f>AND('Surface Coating'!#REF!,"AAAAAGX//7g=")</f>
        <v>#REF!</v>
      </c>
      <c r="GD45" t="e">
        <f>AND('Surface Coating'!#REF!,"AAAAAGX//7k=")</f>
        <v>#REF!</v>
      </c>
      <c r="GE45" t="e">
        <f>AND('Surface Coating'!#REF!,"AAAAAGX//7o=")</f>
        <v>#REF!</v>
      </c>
      <c r="GF45" t="e">
        <f>AND('Surface Coating'!#REF!,"AAAAAGX//7s=")</f>
        <v>#REF!</v>
      </c>
      <c r="GG45" t="e">
        <f>AND('Surface Coating'!#REF!,"AAAAAGX//7w=")</f>
        <v>#REF!</v>
      </c>
      <c r="GH45" t="e">
        <f>AND('Surface Coating'!#REF!,"AAAAAGX//70=")</f>
        <v>#REF!</v>
      </c>
      <c r="GI45" t="e">
        <f>AND('Surface Coating'!#REF!,"AAAAAGX//74=")</f>
        <v>#REF!</v>
      </c>
      <c r="GJ45" t="e">
        <f>AND('Surface Coating'!#REF!,"AAAAAGX//78=")</f>
        <v>#REF!</v>
      </c>
      <c r="GK45" t="e">
        <f>AND('Surface Coating'!#REF!,"AAAAAGX//8A=")</f>
        <v>#REF!</v>
      </c>
      <c r="GL45" t="e">
        <f>AND('Surface Coating'!#REF!,"AAAAAGX//8E=")</f>
        <v>#REF!</v>
      </c>
      <c r="GM45" t="e">
        <f>AND('Surface Coating'!#REF!,"AAAAAGX//8I=")</f>
        <v>#REF!</v>
      </c>
      <c r="GN45" t="e">
        <f>AND('Surface Coating'!#REF!,"AAAAAGX//8M=")</f>
        <v>#REF!</v>
      </c>
      <c r="GO45" t="e">
        <f>AND('Surface Coating'!#REF!,"AAAAAGX//8Q=")</f>
        <v>#REF!</v>
      </c>
      <c r="GP45" t="e">
        <f>AND('Surface Coating'!#REF!,"AAAAAGX//8U=")</f>
        <v>#REF!</v>
      </c>
      <c r="GQ45" t="e">
        <f>AND('Surface Coating'!#REF!,"AAAAAGX//8Y=")</f>
        <v>#REF!</v>
      </c>
      <c r="GR45" t="e">
        <f>AND('Surface Coating'!#REF!,"AAAAAGX//8c=")</f>
        <v>#REF!</v>
      </c>
      <c r="GS45" t="e">
        <f>AND('Surface Coating'!#REF!,"AAAAAGX//8g=")</f>
        <v>#REF!</v>
      </c>
      <c r="GT45" t="e">
        <f>AND('Surface Coating'!#REF!,"AAAAAGX//8k=")</f>
        <v>#REF!</v>
      </c>
      <c r="GU45" t="e">
        <f>AND('Surface Coating'!#REF!,"AAAAAGX//8o=")</f>
        <v>#REF!</v>
      </c>
      <c r="GV45" t="e">
        <f>AND('Surface Coating'!#REF!,"AAAAAGX//8s=")</f>
        <v>#REF!</v>
      </c>
      <c r="GW45" t="e">
        <f>AND('Surface Coating'!#REF!,"AAAAAGX//8w=")</f>
        <v>#REF!</v>
      </c>
      <c r="GX45" t="e">
        <f>IF('Surface Coating'!#REF!,"AAAAAGX//80=",0)</f>
        <v>#REF!</v>
      </c>
      <c r="GY45" t="e">
        <f>AND('Surface Coating'!#REF!,"AAAAAGX//84=")</f>
        <v>#REF!</v>
      </c>
      <c r="GZ45" t="e">
        <f>AND('Surface Coating'!#REF!,"AAAAAGX//88=")</f>
        <v>#REF!</v>
      </c>
      <c r="HA45" t="e">
        <f>AND('Surface Coating'!#REF!,"AAAAAGX//9A=")</f>
        <v>#REF!</v>
      </c>
      <c r="HB45" t="e">
        <f>AND('Surface Coating'!#REF!,"AAAAAGX//9E=")</f>
        <v>#REF!</v>
      </c>
      <c r="HC45" t="e">
        <f>AND('Surface Coating'!#REF!,"AAAAAGX//9I=")</f>
        <v>#REF!</v>
      </c>
      <c r="HD45" t="e">
        <f>AND('Surface Coating'!#REF!,"AAAAAGX//9M=")</f>
        <v>#REF!</v>
      </c>
      <c r="HE45" t="e">
        <f>AND('Surface Coating'!#REF!,"AAAAAGX//9Q=")</f>
        <v>#REF!</v>
      </c>
      <c r="HF45" t="e">
        <f>AND('Surface Coating'!#REF!,"AAAAAGX//9U=")</f>
        <v>#REF!</v>
      </c>
      <c r="HG45" t="e">
        <f>AND('Surface Coating'!#REF!,"AAAAAGX//9Y=")</f>
        <v>#REF!</v>
      </c>
      <c r="HH45" t="e">
        <f>AND('Surface Coating'!#REF!,"AAAAAGX//9c=")</f>
        <v>#REF!</v>
      </c>
      <c r="HI45" t="e">
        <f>AND('Surface Coating'!#REF!,"AAAAAGX//9g=")</f>
        <v>#REF!</v>
      </c>
      <c r="HJ45" t="e">
        <f>AND('Surface Coating'!#REF!,"AAAAAGX//9k=")</f>
        <v>#REF!</v>
      </c>
      <c r="HK45" t="e">
        <f>AND('Surface Coating'!#REF!,"AAAAAGX//9o=")</f>
        <v>#REF!</v>
      </c>
      <c r="HL45" t="e">
        <f>AND('Surface Coating'!#REF!,"AAAAAGX//9s=")</f>
        <v>#REF!</v>
      </c>
      <c r="HM45" t="e">
        <f>AND('Surface Coating'!#REF!,"AAAAAGX//9w=")</f>
        <v>#REF!</v>
      </c>
      <c r="HN45" t="e">
        <f>AND('Surface Coating'!#REF!,"AAAAAGX//90=")</f>
        <v>#REF!</v>
      </c>
      <c r="HO45" t="e">
        <f>AND('Surface Coating'!#REF!,"AAAAAGX//94=")</f>
        <v>#REF!</v>
      </c>
      <c r="HP45" t="e">
        <f>AND('Surface Coating'!#REF!,"AAAAAGX//98=")</f>
        <v>#REF!</v>
      </c>
      <c r="HQ45" t="e">
        <f>AND('Surface Coating'!#REF!,"AAAAAGX//+A=")</f>
        <v>#REF!</v>
      </c>
      <c r="HR45" t="e">
        <f>AND('Surface Coating'!#REF!,"AAAAAGX//+E=")</f>
        <v>#REF!</v>
      </c>
      <c r="HS45" t="e">
        <f>AND('Surface Coating'!#REF!,"AAAAAGX//+I=")</f>
        <v>#REF!</v>
      </c>
      <c r="HT45" t="e">
        <f>AND('Surface Coating'!#REF!,"AAAAAGX//+M=")</f>
        <v>#REF!</v>
      </c>
      <c r="HU45" t="e">
        <f>AND('Surface Coating'!#REF!,"AAAAAGX//+Q=")</f>
        <v>#REF!</v>
      </c>
      <c r="HV45" t="e">
        <f>AND('Surface Coating'!#REF!,"AAAAAGX//+U=")</f>
        <v>#REF!</v>
      </c>
      <c r="HW45" t="e">
        <f>AND('Surface Coating'!#REF!,"AAAAAGX//+Y=")</f>
        <v>#REF!</v>
      </c>
      <c r="HX45" t="e">
        <f>IF('Surface Coating'!#REF!,"AAAAAGX//+c=",0)</f>
        <v>#REF!</v>
      </c>
      <c r="HY45" t="e">
        <f>AND('Surface Coating'!#REF!,"AAAAAGX//+g=")</f>
        <v>#REF!</v>
      </c>
      <c r="HZ45" t="e">
        <f>AND('Surface Coating'!#REF!,"AAAAAGX//+k=")</f>
        <v>#REF!</v>
      </c>
      <c r="IA45" t="e">
        <f>AND('Surface Coating'!#REF!,"AAAAAGX//+o=")</f>
        <v>#REF!</v>
      </c>
      <c r="IB45" t="e">
        <f>AND('Surface Coating'!#REF!,"AAAAAGX//+s=")</f>
        <v>#REF!</v>
      </c>
      <c r="IC45" t="e">
        <f>AND('Surface Coating'!#REF!,"AAAAAGX//+w=")</f>
        <v>#REF!</v>
      </c>
      <c r="ID45" t="e">
        <f>AND('Surface Coating'!#REF!,"AAAAAGX//+0=")</f>
        <v>#REF!</v>
      </c>
      <c r="IE45" t="e">
        <f>AND('Surface Coating'!#REF!,"AAAAAGX//+4=")</f>
        <v>#REF!</v>
      </c>
      <c r="IF45" t="e">
        <f>AND('Surface Coating'!#REF!,"AAAAAGX//+8=")</f>
        <v>#REF!</v>
      </c>
      <c r="IG45" t="e">
        <f>AND('Surface Coating'!#REF!,"AAAAAGX///A=")</f>
        <v>#REF!</v>
      </c>
      <c r="IH45" t="e">
        <f>AND('Surface Coating'!#REF!,"AAAAAGX///E=")</f>
        <v>#REF!</v>
      </c>
      <c r="II45" t="e">
        <f>AND('Surface Coating'!#REF!,"AAAAAGX///I=")</f>
        <v>#REF!</v>
      </c>
      <c r="IJ45" t="e">
        <f>AND('Surface Coating'!#REF!,"AAAAAGX///M=")</f>
        <v>#REF!</v>
      </c>
      <c r="IK45" t="e">
        <f>AND('Surface Coating'!#REF!,"AAAAAGX///Q=")</f>
        <v>#REF!</v>
      </c>
      <c r="IL45" t="e">
        <f>AND('Surface Coating'!#REF!,"AAAAAGX///U=")</f>
        <v>#REF!</v>
      </c>
      <c r="IM45" t="e">
        <f>AND('Surface Coating'!#REF!,"AAAAAGX///Y=")</f>
        <v>#REF!</v>
      </c>
      <c r="IN45" t="e">
        <f>AND('Surface Coating'!#REF!,"AAAAAGX///c=")</f>
        <v>#REF!</v>
      </c>
      <c r="IO45" t="e">
        <f>AND('Surface Coating'!#REF!,"AAAAAGX///g=")</f>
        <v>#REF!</v>
      </c>
      <c r="IP45" t="e">
        <f>AND('Surface Coating'!#REF!,"AAAAAGX///k=")</f>
        <v>#REF!</v>
      </c>
      <c r="IQ45" t="e">
        <f>AND('Surface Coating'!#REF!,"AAAAAGX///o=")</f>
        <v>#REF!</v>
      </c>
      <c r="IR45" t="e">
        <f>AND('Surface Coating'!#REF!,"AAAAAGX///s=")</f>
        <v>#REF!</v>
      </c>
      <c r="IS45" t="e">
        <f>AND('Surface Coating'!#REF!,"AAAAAGX///w=")</f>
        <v>#REF!</v>
      </c>
      <c r="IT45" t="e">
        <f>AND('Surface Coating'!#REF!,"AAAAAGX///0=")</f>
        <v>#REF!</v>
      </c>
      <c r="IU45" t="e">
        <f>AND('Surface Coating'!#REF!,"AAAAAGX///4=")</f>
        <v>#REF!</v>
      </c>
      <c r="IV45" t="e">
        <f>AND('Surface Coating'!#REF!,"AAAAAGX///8=")</f>
        <v>#REF!</v>
      </c>
    </row>
    <row r="46" spans="1:256">
      <c r="A46" t="e">
        <f>AND('Surface Coating'!#REF!,"AAAAAF/NewA=")</f>
        <v>#REF!</v>
      </c>
      <c r="B46" t="e">
        <f>IF('Surface Coating'!#REF!,"AAAAAF/NewE=",0)</f>
        <v>#REF!</v>
      </c>
      <c r="C46" t="e">
        <f>AND('Surface Coating'!#REF!,"AAAAAF/NewI=")</f>
        <v>#REF!</v>
      </c>
      <c r="D46" t="e">
        <f>AND('Surface Coating'!#REF!,"AAAAAF/NewM=")</f>
        <v>#REF!</v>
      </c>
      <c r="E46" t="e">
        <f>AND('Surface Coating'!#REF!,"AAAAAF/NewQ=")</f>
        <v>#REF!</v>
      </c>
      <c r="F46" t="e">
        <f>AND('Surface Coating'!#REF!,"AAAAAF/NewU=")</f>
        <v>#REF!</v>
      </c>
      <c r="G46" t="e">
        <f>AND('Surface Coating'!#REF!,"AAAAAF/NewY=")</f>
        <v>#REF!</v>
      </c>
      <c r="H46" t="e">
        <f>AND('Surface Coating'!#REF!,"AAAAAF/Newc=")</f>
        <v>#REF!</v>
      </c>
      <c r="I46" t="e">
        <f>AND('Surface Coating'!#REF!,"AAAAAF/Newg=")</f>
        <v>#REF!</v>
      </c>
      <c r="J46" t="e">
        <f>AND('Surface Coating'!#REF!,"AAAAAF/Newk=")</f>
        <v>#REF!</v>
      </c>
      <c r="K46" t="e">
        <f>AND('Surface Coating'!#REF!,"AAAAAF/Newo=")</f>
        <v>#REF!</v>
      </c>
      <c r="L46" t="e">
        <f>AND('Surface Coating'!#REF!,"AAAAAF/News=")</f>
        <v>#REF!</v>
      </c>
      <c r="M46" t="e">
        <f>AND('Surface Coating'!#REF!,"AAAAAF/Neww=")</f>
        <v>#REF!</v>
      </c>
      <c r="N46" t="e">
        <f>AND('Surface Coating'!#REF!,"AAAAAF/New0=")</f>
        <v>#REF!</v>
      </c>
      <c r="O46" t="e">
        <f>AND('Surface Coating'!#REF!,"AAAAAF/New4=")</f>
        <v>#REF!</v>
      </c>
      <c r="P46" t="e">
        <f>AND('Surface Coating'!#REF!,"AAAAAF/New8=")</f>
        <v>#REF!</v>
      </c>
      <c r="Q46" t="e">
        <f>AND('Surface Coating'!#REF!,"AAAAAF/NexA=")</f>
        <v>#REF!</v>
      </c>
      <c r="R46" t="e">
        <f>AND('Surface Coating'!#REF!,"AAAAAF/NexE=")</f>
        <v>#REF!</v>
      </c>
      <c r="S46" t="e">
        <f>AND('Surface Coating'!#REF!,"AAAAAF/NexI=")</f>
        <v>#REF!</v>
      </c>
      <c r="T46" t="e">
        <f>AND('Surface Coating'!#REF!,"AAAAAF/NexM=")</f>
        <v>#REF!</v>
      </c>
      <c r="U46" t="e">
        <f>AND('Surface Coating'!#REF!,"AAAAAF/NexQ=")</f>
        <v>#REF!</v>
      </c>
      <c r="V46" t="e">
        <f>AND('Surface Coating'!#REF!,"AAAAAF/NexU=")</f>
        <v>#REF!</v>
      </c>
      <c r="W46" t="e">
        <f>AND('Surface Coating'!#REF!,"AAAAAF/NexY=")</f>
        <v>#REF!</v>
      </c>
      <c r="X46" t="e">
        <f>AND('Surface Coating'!#REF!,"AAAAAF/Nexc=")</f>
        <v>#REF!</v>
      </c>
      <c r="Y46" t="e">
        <f>AND('Surface Coating'!#REF!,"AAAAAF/Nexg=")</f>
        <v>#REF!</v>
      </c>
      <c r="Z46" t="e">
        <f>AND('Surface Coating'!#REF!,"AAAAAF/Nexk=")</f>
        <v>#REF!</v>
      </c>
      <c r="AA46" t="e">
        <f>AND('Surface Coating'!#REF!,"AAAAAF/Nexo=")</f>
        <v>#REF!</v>
      </c>
      <c r="AB46" t="e">
        <f>IF('Surface Coating'!#REF!,"AAAAAF/Nexs=",0)</f>
        <v>#REF!</v>
      </c>
      <c r="AC46" t="e">
        <f>AND('Surface Coating'!#REF!,"AAAAAF/Nexw=")</f>
        <v>#REF!</v>
      </c>
      <c r="AD46" t="e">
        <f>AND('Surface Coating'!#REF!,"AAAAAF/Nex0=")</f>
        <v>#REF!</v>
      </c>
      <c r="AE46" t="e">
        <f>AND('Surface Coating'!#REF!,"AAAAAF/Nex4=")</f>
        <v>#REF!</v>
      </c>
      <c r="AF46" t="e">
        <f>AND('Surface Coating'!#REF!,"AAAAAF/Nex8=")</f>
        <v>#REF!</v>
      </c>
      <c r="AG46" t="e">
        <f>AND('Surface Coating'!#REF!,"AAAAAF/NeyA=")</f>
        <v>#REF!</v>
      </c>
      <c r="AH46" t="e">
        <f>AND('Surface Coating'!#REF!,"AAAAAF/NeyE=")</f>
        <v>#REF!</v>
      </c>
      <c r="AI46" t="e">
        <f>AND('Surface Coating'!#REF!,"AAAAAF/NeyI=")</f>
        <v>#REF!</v>
      </c>
      <c r="AJ46" t="e">
        <f>AND('Surface Coating'!#REF!,"AAAAAF/NeyM=")</f>
        <v>#REF!</v>
      </c>
      <c r="AK46" t="e">
        <f>AND('Surface Coating'!#REF!,"AAAAAF/NeyQ=")</f>
        <v>#REF!</v>
      </c>
      <c r="AL46" t="e">
        <f>AND('Surface Coating'!#REF!,"AAAAAF/NeyU=")</f>
        <v>#REF!</v>
      </c>
      <c r="AM46" t="e">
        <f>AND('Surface Coating'!#REF!,"AAAAAF/NeyY=")</f>
        <v>#REF!</v>
      </c>
      <c r="AN46" t="e">
        <f>AND('Surface Coating'!#REF!,"AAAAAF/Neyc=")</f>
        <v>#REF!</v>
      </c>
      <c r="AO46" t="e">
        <f>AND('Surface Coating'!#REF!,"AAAAAF/Neyg=")</f>
        <v>#REF!</v>
      </c>
      <c r="AP46" t="e">
        <f>AND('Surface Coating'!#REF!,"AAAAAF/Neyk=")</f>
        <v>#REF!</v>
      </c>
      <c r="AQ46" t="e">
        <f>AND('Surface Coating'!#REF!,"AAAAAF/Neyo=")</f>
        <v>#REF!</v>
      </c>
      <c r="AR46" t="e">
        <f>AND('Surface Coating'!#REF!,"AAAAAF/Neys=")</f>
        <v>#REF!</v>
      </c>
      <c r="AS46" t="e">
        <f>AND('Surface Coating'!#REF!,"AAAAAF/Neyw=")</f>
        <v>#REF!</v>
      </c>
      <c r="AT46" t="e">
        <f>AND('Surface Coating'!#REF!,"AAAAAF/Ney0=")</f>
        <v>#REF!</v>
      </c>
      <c r="AU46" t="e">
        <f>AND('Surface Coating'!#REF!,"AAAAAF/Ney4=")</f>
        <v>#REF!</v>
      </c>
      <c r="AV46" t="e">
        <f>AND('Surface Coating'!#REF!,"AAAAAF/Ney8=")</f>
        <v>#REF!</v>
      </c>
      <c r="AW46" t="e">
        <f>AND('Surface Coating'!#REF!,"AAAAAF/NezA=")</f>
        <v>#REF!</v>
      </c>
      <c r="AX46" t="e">
        <f>AND('Surface Coating'!#REF!,"AAAAAF/NezE=")</f>
        <v>#REF!</v>
      </c>
      <c r="AY46" t="e">
        <f>AND('Surface Coating'!#REF!,"AAAAAF/NezI=")</f>
        <v>#REF!</v>
      </c>
      <c r="AZ46" t="e">
        <f>AND('Surface Coating'!#REF!,"AAAAAF/NezM=")</f>
        <v>#REF!</v>
      </c>
      <c r="BA46" t="e">
        <f>AND('Surface Coating'!#REF!,"AAAAAF/NezQ=")</f>
        <v>#REF!</v>
      </c>
      <c r="BB46" t="e">
        <f>IF('Surface Coating'!#REF!,"AAAAAF/NezU=",0)</f>
        <v>#REF!</v>
      </c>
      <c r="BC46" t="e">
        <f>AND('Surface Coating'!#REF!,"AAAAAF/NezY=")</f>
        <v>#REF!</v>
      </c>
      <c r="BD46" t="e">
        <f>AND('Surface Coating'!#REF!,"AAAAAF/Nezc=")</f>
        <v>#REF!</v>
      </c>
      <c r="BE46" t="e">
        <f>AND('Surface Coating'!#REF!,"AAAAAF/Nezg=")</f>
        <v>#REF!</v>
      </c>
      <c r="BF46" t="e">
        <f>AND('Surface Coating'!#REF!,"AAAAAF/Nezk=")</f>
        <v>#REF!</v>
      </c>
      <c r="BG46" t="e">
        <f>AND('Surface Coating'!#REF!,"AAAAAF/Nezo=")</f>
        <v>#REF!</v>
      </c>
      <c r="BH46" t="e">
        <f>AND('Surface Coating'!#REF!,"AAAAAF/Nezs=")</f>
        <v>#REF!</v>
      </c>
      <c r="BI46" t="e">
        <f>AND('Surface Coating'!#REF!,"AAAAAF/Nezw=")</f>
        <v>#REF!</v>
      </c>
      <c r="BJ46" t="e">
        <f>AND('Surface Coating'!#REF!,"AAAAAF/Nez0=")</f>
        <v>#REF!</v>
      </c>
      <c r="BK46" t="e">
        <f>AND('Surface Coating'!#REF!,"AAAAAF/Nez4=")</f>
        <v>#REF!</v>
      </c>
      <c r="BL46" t="e">
        <f>AND('Surface Coating'!#REF!,"AAAAAF/Nez8=")</f>
        <v>#REF!</v>
      </c>
      <c r="BM46" t="e">
        <f>AND('Surface Coating'!#REF!,"AAAAAF/Ne0A=")</f>
        <v>#REF!</v>
      </c>
      <c r="BN46" t="e">
        <f>AND('Surface Coating'!#REF!,"AAAAAF/Ne0E=")</f>
        <v>#REF!</v>
      </c>
      <c r="BO46" t="e">
        <f>AND('Surface Coating'!#REF!,"AAAAAF/Ne0I=")</f>
        <v>#REF!</v>
      </c>
      <c r="BP46" t="e">
        <f>AND('Surface Coating'!#REF!,"AAAAAF/Ne0M=")</f>
        <v>#REF!</v>
      </c>
      <c r="BQ46" t="e">
        <f>AND('Surface Coating'!#REF!,"AAAAAF/Ne0Q=")</f>
        <v>#REF!</v>
      </c>
      <c r="BR46" t="e">
        <f>AND('Surface Coating'!#REF!,"AAAAAF/Ne0U=")</f>
        <v>#REF!</v>
      </c>
      <c r="BS46" t="e">
        <f>AND('Surface Coating'!#REF!,"AAAAAF/Ne0Y=")</f>
        <v>#REF!</v>
      </c>
      <c r="BT46" t="e">
        <f>AND('Surface Coating'!#REF!,"AAAAAF/Ne0c=")</f>
        <v>#REF!</v>
      </c>
      <c r="BU46" t="e">
        <f>AND('Surface Coating'!#REF!,"AAAAAF/Ne0g=")</f>
        <v>#REF!</v>
      </c>
      <c r="BV46" t="e">
        <f>AND('Surface Coating'!#REF!,"AAAAAF/Ne0k=")</f>
        <v>#REF!</v>
      </c>
      <c r="BW46" t="e">
        <f>AND('Surface Coating'!#REF!,"AAAAAF/Ne0o=")</f>
        <v>#REF!</v>
      </c>
      <c r="BX46" t="e">
        <f>AND('Surface Coating'!#REF!,"AAAAAF/Ne0s=")</f>
        <v>#REF!</v>
      </c>
      <c r="BY46" t="e">
        <f>AND('Surface Coating'!#REF!,"AAAAAF/Ne0w=")</f>
        <v>#REF!</v>
      </c>
      <c r="BZ46" t="e">
        <f>AND('Surface Coating'!#REF!,"AAAAAF/Ne00=")</f>
        <v>#REF!</v>
      </c>
      <c r="CA46" t="e">
        <f>AND('Surface Coating'!#REF!,"AAAAAF/Ne04=")</f>
        <v>#REF!</v>
      </c>
      <c r="CB46">
        <f>IF('Surface Coating'!8:8,"AAAAAF/Ne08=",0)</f>
        <v>0</v>
      </c>
      <c r="CC46" t="e">
        <f>AND('Surface Coating'!A8,"AAAAAF/Ne1A=")</f>
        <v>#VALUE!</v>
      </c>
      <c r="CD46" t="e">
        <f>AND('Surface Coating'!B8,"AAAAAF/Ne1E=")</f>
        <v>#VALUE!</v>
      </c>
      <c r="CE46" t="e">
        <f>AND('Surface Coating'!C8,"AAAAAF/Ne1I=")</f>
        <v>#VALUE!</v>
      </c>
      <c r="CF46" t="e">
        <f>AND('Surface Coating'!D8,"AAAAAF/Ne1M=")</f>
        <v>#VALUE!</v>
      </c>
      <c r="CG46" t="e">
        <f>AND('Surface Coating'!E8,"AAAAAF/Ne1Q=")</f>
        <v>#VALUE!</v>
      </c>
      <c r="CH46" t="e">
        <f>AND('Surface Coating'!F8,"AAAAAF/Ne1U=")</f>
        <v>#VALUE!</v>
      </c>
      <c r="CI46" t="e">
        <f>AND('Surface Coating'!G8,"AAAAAF/Ne1Y=")</f>
        <v>#VALUE!</v>
      </c>
      <c r="CJ46" t="e">
        <f>AND('Surface Coating'!H8,"AAAAAF/Ne1c=")</f>
        <v>#VALUE!</v>
      </c>
      <c r="CK46" t="e">
        <f>AND('Surface Coating'!I8,"AAAAAF/Ne1g=")</f>
        <v>#VALUE!</v>
      </c>
      <c r="CL46" t="e">
        <f>AND('Surface Coating'!J8,"AAAAAF/Ne1k=")</f>
        <v>#VALUE!</v>
      </c>
      <c r="CM46" t="e">
        <f>AND('Surface Coating'!K8,"AAAAAF/Ne1o=")</f>
        <v>#VALUE!</v>
      </c>
      <c r="CN46" t="e">
        <f>AND('Surface Coating'!L8,"AAAAAF/Ne1s=")</f>
        <v>#VALUE!</v>
      </c>
      <c r="CO46" t="e">
        <f>AND('Surface Coating'!M8,"AAAAAF/Ne1w=")</f>
        <v>#VALUE!</v>
      </c>
      <c r="CP46" t="e">
        <f>AND('Surface Coating'!N8,"AAAAAF/Ne10=")</f>
        <v>#VALUE!</v>
      </c>
      <c r="CQ46" t="e">
        <f>AND('Surface Coating'!O8,"AAAAAF/Ne14=")</f>
        <v>#VALUE!</v>
      </c>
      <c r="CR46" t="e">
        <f>AND('Surface Coating'!P8,"AAAAAF/Ne18=")</f>
        <v>#VALUE!</v>
      </c>
      <c r="CS46" t="e">
        <f>AND('Surface Coating'!Q8,"AAAAAF/Ne2A=")</f>
        <v>#VALUE!</v>
      </c>
      <c r="CT46" t="e">
        <f>AND('Surface Coating'!R8,"AAAAAF/Ne2E=")</f>
        <v>#VALUE!</v>
      </c>
      <c r="CU46" t="e">
        <f>AND('Surface Coating'!S8,"AAAAAF/Ne2I=")</f>
        <v>#VALUE!</v>
      </c>
      <c r="CV46" t="e">
        <f>AND('Surface Coating'!T8,"AAAAAF/Ne2M=")</f>
        <v>#VALUE!</v>
      </c>
      <c r="CW46" t="e">
        <f>AND('Surface Coating'!U8,"AAAAAF/Ne2Q=")</f>
        <v>#VALUE!</v>
      </c>
      <c r="CX46" t="e">
        <f>AND('Surface Coating'!V8,"AAAAAF/Ne2U=")</f>
        <v>#VALUE!</v>
      </c>
      <c r="CY46" t="e">
        <f>AND('Surface Coating'!W8,"AAAAAF/Ne2Y=")</f>
        <v>#VALUE!</v>
      </c>
      <c r="CZ46" t="e">
        <f>AND('Surface Coating'!X8,"AAAAAF/Ne2c=")</f>
        <v>#VALUE!</v>
      </c>
      <c r="DA46" t="e">
        <f>AND('Surface Coating'!Y8,"AAAAAF/Ne2g=")</f>
        <v>#VALUE!</v>
      </c>
      <c r="DB46" t="e">
        <f>IF('Surface Coating'!#REF!,"AAAAAF/Ne2k=",0)</f>
        <v>#REF!</v>
      </c>
      <c r="DC46" t="e">
        <f>AND('Surface Coating'!#REF!,"AAAAAF/Ne2o=")</f>
        <v>#REF!</v>
      </c>
      <c r="DD46" t="e">
        <f>AND('Surface Coating'!#REF!,"AAAAAF/Ne2s=")</f>
        <v>#REF!</v>
      </c>
      <c r="DE46" t="e">
        <f>AND('Surface Coating'!#REF!,"AAAAAF/Ne2w=")</f>
        <v>#REF!</v>
      </c>
      <c r="DF46" t="e">
        <f>AND('Surface Coating'!#REF!,"AAAAAF/Ne20=")</f>
        <v>#REF!</v>
      </c>
      <c r="DG46" t="e">
        <f>AND('Surface Coating'!#REF!,"AAAAAF/Ne24=")</f>
        <v>#REF!</v>
      </c>
      <c r="DH46" t="e">
        <f>AND('Surface Coating'!#REF!,"AAAAAF/Ne28=")</f>
        <v>#REF!</v>
      </c>
      <c r="DI46" t="e">
        <f>AND('Surface Coating'!#REF!,"AAAAAF/Ne3A=")</f>
        <v>#REF!</v>
      </c>
      <c r="DJ46" t="e">
        <f>AND('Surface Coating'!#REF!,"AAAAAF/Ne3E=")</f>
        <v>#REF!</v>
      </c>
      <c r="DK46" t="e">
        <f>AND('Surface Coating'!#REF!,"AAAAAF/Ne3I=")</f>
        <v>#REF!</v>
      </c>
      <c r="DL46" t="e">
        <f>AND('Surface Coating'!#REF!,"AAAAAF/Ne3M=")</f>
        <v>#REF!</v>
      </c>
      <c r="DM46" t="e">
        <f>AND('Surface Coating'!#REF!,"AAAAAF/Ne3Q=")</f>
        <v>#REF!</v>
      </c>
      <c r="DN46" t="e">
        <f>AND('Surface Coating'!#REF!,"AAAAAF/Ne3U=")</f>
        <v>#REF!</v>
      </c>
      <c r="DO46" t="e">
        <f>AND('Surface Coating'!#REF!,"AAAAAF/Ne3Y=")</f>
        <v>#REF!</v>
      </c>
      <c r="DP46" t="e">
        <f>AND('Surface Coating'!#REF!,"AAAAAF/Ne3c=")</f>
        <v>#REF!</v>
      </c>
      <c r="DQ46" t="e">
        <f>AND('Surface Coating'!#REF!,"AAAAAF/Ne3g=")</f>
        <v>#REF!</v>
      </c>
      <c r="DR46" t="e">
        <f>AND('Surface Coating'!#REF!,"AAAAAF/Ne3k=")</f>
        <v>#REF!</v>
      </c>
      <c r="DS46" t="e">
        <f>AND('Surface Coating'!#REF!,"AAAAAF/Ne3o=")</f>
        <v>#REF!</v>
      </c>
      <c r="DT46" t="e">
        <f>AND('Surface Coating'!#REF!,"AAAAAF/Ne3s=")</f>
        <v>#REF!</v>
      </c>
      <c r="DU46" t="e">
        <f>AND('Surface Coating'!#REF!,"AAAAAF/Ne3w=")</f>
        <v>#REF!</v>
      </c>
      <c r="DV46" t="e">
        <f>AND('Surface Coating'!#REF!,"AAAAAF/Ne30=")</f>
        <v>#REF!</v>
      </c>
      <c r="DW46" t="e">
        <f>AND('Surface Coating'!#REF!,"AAAAAF/Ne34=")</f>
        <v>#REF!</v>
      </c>
      <c r="DX46" t="e">
        <f>AND('Surface Coating'!#REF!,"AAAAAF/Ne38=")</f>
        <v>#REF!</v>
      </c>
      <c r="DY46" t="e">
        <f>AND('Surface Coating'!#REF!,"AAAAAF/Ne4A=")</f>
        <v>#REF!</v>
      </c>
      <c r="DZ46" t="e">
        <f>AND('Surface Coating'!#REF!,"AAAAAF/Ne4E=")</f>
        <v>#REF!</v>
      </c>
      <c r="EA46" t="e">
        <f>AND('Surface Coating'!#REF!,"AAAAAF/Ne4I=")</f>
        <v>#REF!</v>
      </c>
      <c r="EB46" t="e">
        <f>IF('Surface Coating'!#REF!,"AAAAAF/Ne4M=",0)</f>
        <v>#REF!</v>
      </c>
      <c r="EC46" t="e">
        <f>AND('Surface Coating'!#REF!,"AAAAAF/Ne4Q=")</f>
        <v>#REF!</v>
      </c>
      <c r="ED46" t="e">
        <f>AND('Surface Coating'!#REF!,"AAAAAF/Ne4U=")</f>
        <v>#REF!</v>
      </c>
      <c r="EE46" t="e">
        <f>AND('Surface Coating'!#REF!,"AAAAAF/Ne4Y=")</f>
        <v>#REF!</v>
      </c>
      <c r="EF46" t="e">
        <f>AND('Surface Coating'!#REF!,"AAAAAF/Ne4c=")</f>
        <v>#REF!</v>
      </c>
      <c r="EG46" t="e">
        <f>AND('Surface Coating'!#REF!,"AAAAAF/Ne4g=")</f>
        <v>#REF!</v>
      </c>
      <c r="EH46" t="e">
        <f>AND('Surface Coating'!#REF!,"AAAAAF/Ne4k=")</f>
        <v>#REF!</v>
      </c>
      <c r="EI46" t="e">
        <f>AND('Surface Coating'!#REF!,"AAAAAF/Ne4o=")</f>
        <v>#REF!</v>
      </c>
      <c r="EJ46" t="e">
        <f>AND('Surface Coating'!#REF!,"AAAAAF/Ne4s=")</f>
        <v>#REF!</v>
      </c>
      <c r="EK46" t="e">
        <f>AND('Surface Coating'!#REF!,"AAAAAF/Ne4w=")</f>
        <v>#REF!</v>
      </c>
      <c r="EL46" t="e">
        <f>AND('Surface Coating'!#REF!,"AAAAAF/Ne40=")</f>
        <v>#REF!</v>
      </c>
      <c r="EM46" t="e">
        <f>AND('Surface Coating'!#REF!,"AAAAAF/Ne44=")</f>
        <v>#REF!</v>
      </c>
      <c r="EN46" t="e">
        <f>AND('Surface Coating'!#REF!,"AAAAAF/Ne48=")</f>
        <v>#REF!</v>
      </c>
      <c r="EO46" t="e">
        <f>AND('Surface Coating'!#REF!,"AAAAAF/Ne5A=")</f>
        <v>#REF!</v>
      </c>
      <c r="EP46" t="e">
        <f>AND('Surface Coating'!#REF!,"AAAAAF/Ne5E=")</f>
        <v>#REF!</v>
      </c>
      <c r="EQ46" t="e">
        <f>AND('Surface Coating'!#REF!,"AAAAAF/Ne5I=")</f>
        <v>#REF!</v>
      </c>
      <c r="ER46" t="e">
        <f>AND('Surface Coating'!#REF!,"AAAAAF/Ne5M=")</f>
        <v>#REF!</v>
      </c>
      <c r="ES46" t="e">
        <f>AND('Surface Coating'!#REF!,"AAAAAF/Ne5Q=")</f>
        <v>#REF!</v>
      </c>
      <c r="ET46" t="e">
        <f>AND('Surface Coating'!#REF!,"AAAAAF/Ne5U=")</f>
        <v>#REF!</v>
      </c>
      <c r="EU46" t="e">
        <f>AND('Surface Coating'!#REF!,"AAAAAF/Ne5Y=")</f>
        <v>#REF!</v>
      </c>
      <c r="EV46" t="e">
        <f>AND('Surface Coating'!#REF!,"AAAAAF/Ne5c=")</f>
        <v>#REF!</v>
      </c>
      <c r="EW46" t="e">
        <f>AND('Surface Coating'!#REF!,"AAAAAF/Ne5g=")</f>
        <v>#REF!</v>
      </c>
      <c r="EX46" t="e">
        <f>AND('Surface Coating'!#REF!,"AAAAAF/Ne5k=")</f>
        <v>#REF!</v>
      </c>
      <c r="EY46" t="e">
        <f>AND('Surface Coating'!#REF!,"AAAAAF/Ne5o=")</f>
        <v>#REF!</v>
      </c>
      <c r="EZ46" t="e">
        <f>AND('Surface Coating'!#REF!,"AAAAAF/Ne5s=")</f>
        <v>#REF!</v>
      </c>
      <c r="FA46" t="e">
        <f>AND('Surface Coating'!#REF!,"AAAAAF/Ne5w=")</f>
        <v>#REF!</v>
      </c>
      <c r="FB46" t="e">
        <f>IF('Surface Coating'!#REF!,"AAAAAF/Ne50=",0)</f>
        <v>#REF!</v>
      </c>
      <c r="FC46" t="e">
        <f>AND('Surface Coating'!#REF!,"AAAAAF/Ne54=")</f>
        <v>#REF!</v>
      </c>
      <c r="FD46" t="e">
        <f>AND('Surface Coating'!#REF!,"AAAAAF/Ne58=")</f>
        <v>#REF!</v>
      </c>
      <c r="FE46" t="e">
        <f>AND('Surface Coating'!#REF!,"AAAAAF/Ne6A=")</f>
        <v>#REF!</v>
      </c>
      <c r="FF46" t="e">
        <f>AND('Surface Coating'!#REF!,"AAAAAF/Ne6E=")</f>
        <v>#REF!</v>
      </c>
      <c r="FG46" t="e">
        <f>AND('Surface Coating'!#REF!,"AAAAAF/Ne6I=")</f>
        <v>#REF!</v>
      </c>
      <c r="FH46" t="e">
        <f>AND('Surface Coating'!#REF!,"AAAAAF/Ne6M=")</f>
        <v>#REF!</v>
      </c>
      <c r="FI46" t="e">
        <f>AND('Surface Coating'!#REF!,"AAAAAF/Ne6Q=")</f>
        <v>#REF!</v>
      </c>
      <c r="FJ46" t="e">
        <f>AND('Surface Coating'!#REF!,"AAAAAF/Ne6U=")</f>
        <v>#REF!</v>
      </c>
      <c r="FK46" t="e">
        <f>AND('Surface Coating'!#REF!,"AAAAAF/Ne6Y=")</f>
        <v>#REF!</v>
      </c>
      <c r="FL46" t="e">
        <f>AND('Surface Coating'!#REF!,"AAAAAF/Ne6c=")</f>
        <v>#REF!</v>
      </c>
      <c r="FM46" t="e">
        <f>AND('Surface Coating'!#REF!,"AAAAAF/Ne6g=")</f>
        <v>#REF!</v>
      </c>
      <c r="FN46" t="e">
        <f>AND('Surface Coating'!#REF!,"AAAAAF/Ne6k=")</f>
        <v>#REF!</v>
      </c>
      <c r="FO46" t="e">
        <f>AND('Surface Coating'!#REF!,"AAAAAF/Ne6o=")</f>
        <v>#REF!</v>
      </c>
      <c r="FP46" t="e">
        <f>AND('Surface Coating'!#REF!,"AAAAAF/Ne6s=")</f>
        <v>#REF!</v>
      </c>
      <c r="FQ46" t="e">
        <f>AND('Surface Coating'!#REF!,"AAAAAF/Ne6w=")</f>
        <v>#REF!</v>
      </c>
      <c r="FR46" t="e">
        <f>AND('Surface Coating'!#REF!,"AAAAAF/Ne60=")</f>
        <v>#REF!</v>
      </c>
      <c r="FS46" t="e">
        <f>AND('Surface Coating'!#REF!,"AAAAAF/Ne64=")</f>
        <v>#REF!</v>
      </c>
      <c r="FT46" t="e">
        <f>AND('Surface Coating'!#REF!,"AAAAAF/Ne68=")</f>
        <v>#REF!</v>
      </c>
      <c r="FU46" t="e">
        <f>AND('Surface Coating'!#REF!,"AAAAAF/Ne7A=")</f>
        <v>#REF!</v>
      </c>
      <c r="FV46" t="e">
        <f>AND('Surface Coating'!#REF!,"AAAAAF/Ne7E=")</f>
        <v>#REF!</v>
      </c>
      <c r="FW46" t="e">
        <f>AND('Surface Coating'!#REF!,"AAAAAF/Ne7I=")</f>
        <v>#REF!</v>
      </c>
      <c r="FX46" t="e">
        <f>AND('Surface Coating'!#REF!,"AAAAAF/Ne7M=")</f>
        <v>#REF!</v>
      </c>
      <c r="FY46" t="e">
        <f>AND('Surface Coating'!#REF!,"AAAAAF/Ne7Q=")</f>
        <v>#REF!</v>
      </c>
      <c r="FZ46" t="e">
        <f>AND('Surface Coating'!#REF!,"AAAAAF/Ne7U=")</f>
        <v>#REF!</v>
      </c>
      <c r="GA46" t="e">
        <f>AND('Surface Coating'!#REF!,"AAAAAF/Ne7Y=")</f>
        <v>#REF!</v>
      </c>
      <c r="GB46" t="e">
        <f>IF('Surface Coating'!#REF!,"AAAAAF/Ne7c=",0)</f>
        <v>#REF!</v>
      </c>
      <c r="GC46" t="e">
        <f>AND('Surface Coating'!#REF!,"AAAAAF/Ne7g=")</f>
        <v>#REF!</v>
      </c>
      <c r="GD46" t="e">
        <f>AND('Surface Coating'!#REF!,"AAAAAF/Ne7k=")</f>
        <v>#REF!</v>
      </c>
      <c r="GE46" t="e">
        <f>AND('Surface Coating'!#REF!,"AAAAAF/Ne7o=")</f>
        <v>#REF!</v>
      </c>
      <c r="GF46" t="e">
        <f>AND('Surface Coating'!#REF!,"AAAAAF/Ne7s=")</f>
        <v>#REF!</v>
      </c>
      <c r="GG46" t="e">
        <f>AND('Surface Coating'!#REF!,"AAAAAF/Ne7w=")</f>
        <v>#REF!</v>
      </c>
      <c r="GH46" t="e">
        <f>AND('Surface Coating'!#REF!,"AAAAAF/Ne70=")</f>
        <v>#REF!</v>
      </c>
      <c r="GI46" t="e">
        <f>AND('Surface Coating'!#REF!,"AAAAAF/Ne74=")</f>
        <v>#REF!</v>
      </c>
      <c r="GJ46" t="e">
        <f>AND('Surface Coating'!#REF!,"AAAAAF/Ne78=")</f>
        <v>#REF!</v>
      </c>
      <c r="GK46" t="e">
        <f>AND('Surface Coating'!#REF!,"AAAAAF/Ne8A=")</f>
        <v>#REF!</v>
      </c>
      <c r="GL46" t="e">
        <f>AND('Surface Coating'!#REF!,"AAAAAF/Ne8E=")</f>
        <v>#REF!</v>
      </c>
      <c r="GM46" t="e">
        <f>AND('Surface Coating'!#REF!,"AAAAAF/Ne8I=")</f>
        <v>#REF!</v>
      </c>
      <c r="GN46" t="e">
        <f>AND('Surface Coating'!#REF!,"AAAAAF/Ne8M=")</f>
        <v>#REF!</v>
      </c>
      <c r="GO46" t="e">
        <f>AND('Surface Coating'!#REF!,"AAAAAF/Ne8Q=")</f>
        <v>#REF!</v>
      </c>
      <c r="GP46" t="e">
        <f>AND('Surface Coating'!#REF!,"AAAAAF/Ne8U=")</f>
        <v>#REF!</v>
      </c>
      <c r="GQ46" t="e">
        <f>AND('Surface Coating'!#REF!,"AAAAAF/Ne8Y=")</f>
        <v>#REF!</v>
      </c>
      <c r="GR46" t="e">
        <f>AND('Surface Coating'!#REF!,"AAAAAF/Ne8c=")</f>
        <v>#REF!</v>
      </c>
      <c r="GS46" t="e">
        <f>AND('Surface Coating'!#REF!,"AAAAAF/Ne8g=")</f>
        <v>#REF!</v>
      </c>
      <c r="GT46" t="e">
        <f>AND('Surface Coating'!#REF!,"AAAAAF/Ne8k=")</f>
        <v>#REF!</v>
      </c>
      <c r="GU46" t="e">
        <f>AND('Surface Coating'!#REF!,"AAAAAF/Ne8o=")</f>
        <v>#REF!</v>
      </c>
      <c r="GV46" t="e">
        <f>AND('Surface Coating'!#REF!,"AAAAAF/Ne8s=")</f>
        <v>#REF!</v>
      </c>
      <c r="GW46" t="e">
        <f>AND('Surface Coating'!#REF!,"AAAAAF/Ne8w=")</f>
        <v>#REF!</v>
      </c>
      <c r="GX46" t="e">
        <f>AND('Surface Coating'!#REF!,"AAAAAF/Ne80=")</f>
        <v>#REF!</v>
      </c>
      <c r="GY46" t="e">
        <f>AND('Surface Coating'!#REF!,"AAAAAF/Ne84=")</f>
        <v>#REF!</v>
      </c>
      <c r="GZ46" t="e">
        <f>AND('Surface Coating'!#REF!,"AAAAAF/Ne88=")</f>
        <v>#REF!</v>
      </c>
      <c r="HA46" t="e">
        <f>AND('Surface Coating'!#REF!,"AAAAAF/Ne9A=")</f>
        <v>#REF!</v>
      </c>
      <c r="HB46" t="e">
        <f>IF('Surface Coating'!#REF!,"AAAAAF/Ne9E=",0)</f>
        <v>#REF!</v>
      </c>
      <c r="HC46" t="e">
        <f>AND('Surface Coating'!#REF!,"AAAAAF/Ne9I=")</f>
        <v>#REF!</v>
      </c>
      <c r="HD46" t="e">
        <f>AND('Surface Coating'!#REF!,"AAAAAF/Ne9M=")</f>
        <v>#REF!</v>
      </c>
      <c r="HE46" t="e">
        <f>AND('Surface Coating'!#REF!,"AAAAAF/Ne9Q=")</f>
        <v>#REF!</v>
      </c>
      <c r="HF46" t="e">
        <f>AND('Surface Coating'!#REF!,"AAAAAF/Ne9U=")</f>
        <v>#REF!</v>
      </c>
      <c r="HG46" t="e">
        <f>AND('Surface Coating'!#REF!,"AAAAAF/Ne9Y=")</f>
        <v>#REF!</v>
      </c>
      <c r="HH46" t="e">
        <f>AND('Surface Coating'!#REF!,"AAAAAF/Ne9c=")</f>
        <v>#REF!</v>
      </c>
      <c r="HI46" t="e">
        <f>AND('Surface Coating'!#REF!,"AAAAAF/Ne9g=")</f>
        <v>#REF!</v>
      </c>
      <c r="HJ46" t="e">
        <f>AND('Surface Coating'!#REF!,"AAAAAF/Ne9k=")</f>
        <v>#REF!</v>
      </c>
      <c r="HK46" t="e">
        <f>AND('Surface Coating'!#REF!,"AAAAAF/Ne9o=")</f>
        <v>#REF!</v>
      </c>
      <c r="HL46" t="e">
        <f>AND('Surface Coating'!#REF!,"AAAAAF/Ne9s=")</f>
        <v>#REF!</v>
      </c>
      <c r="HM46" t="e">
        <f>AND('Surface Coating'!#REF!,"AAAAAF/Ne9w=")</f>
        <v>#REF!</v>
      </c>
      <c r="HN46" t="e">
        <f>AND('Surface Coating'!#REF!,"AAAAAF/Ne90=")</f>
        <v>#REF!</v>
      </c>
      <c r="HO46" t="e">
        <f>AND('Surface Coating'!#REF!,"AAAAAF/Ne94=")</f>
        <v>#REF!</v>
      </c>
      <c r="HP46" t="e">
        <f>AND('Surface Coating'!#REF!,"AAAAAF/Ne98=")</f>
        <v>#REF!</v>
      </c>
      <c r="HQ46" t="e">
        <f>AND('Surface Coating'!#REF!,"AAAAAF/Ne+A=")</f>
        <v>#REF!</v>
      </c>
      <c r="HR46" t="e">
        <f>AND('Surface Coating'!#REF!,"AAAAAF/Ne+E=")</f>
        <v>#REF!</v>
      </c>
      <c r="HS46" t="e">
        <f>AND('Surface Coating'!#REF!,"AAAAAF/Ne+I=")</f>
        <v>#REF!</v>
      </c>
      <c r="HT46" t="e">
        <f>AND('Surface Coating'!#REF!,"AAAAAF/Ne+M=")</f>
        <v>#REF!</v>
      </c>
      <c r="HU46" t="e">
        <f>AND('Surface Coating'!#REF!,"AAAAAF/Ne+Q=")</f>
        <v>#REF!</v>
      </c>
      <c r="HV46" t="e">
        <f>AND('Surface Coating'!#REF!,"AAAAAF/Ne+U=")</f>
        <v>#REF!</v>
      </c>
      <c r="HW46" t="e">
        <f>AND('Surface Coating'!#REF!,"AAAAAF/Ne+Y=")</f>
        <v>#REF!</v>
      </c>
      <c r="HX46" t="e">
        <f>AND('Surface Coating'!#REF!,"AAAAAF/Ne+c=")</f>
        <v>#REF!</v>
      </c>
      <c r="HY46" t="e">
        <f>AND('Surface Coating'!#REF!,"AAAAAF/Ne+g=")</f>
        <v>#REF!</v>
      </c>
      <c r="HZ46" t="e">
        <f>AND('Surface Coating'!#REF!,"AAAAAF/Ne+k=")</f>
        <v>#REF!</v>
      </c>
      <c r="IA46" t="e">
        <f>AND('Surface Coating'!#REF!,"AAAAAF/Ne+o=")</f>
        <v>#REF!</v>
      </c>
      <c r="IB46" t="e">
        <f>IF('Surface Coating'!#REF!,"AAAAAF/Ne+s=",0)</f>
        <v>#REF!</v>
      </c>
      <c r="IC46" t="e">
        <f>AND('Surface Coating'!#REF!,"AAAAAF/Ne+w=")</f>
        <v>#REF!</v>
      </c>
      <c r="ID46" t="e">
        <f>AND('Surface Coating'!#REF!,"AAAAAF/Ne+0=")</f>
        <v>#REF!</v>
      </c>
      <c r="IE46" t="e">
        <f>AND('Surface Coating'!#REF!,"AAAAAF/Ne+4=")</f>
        <v>#REF!</v>
      </c>
      <c r="IF46" t="e">
        <f>AND('Surface Coating'!#REF!,"AAAAAF/Ne+8=")</f>
        <v>#REF!</v>
      </c>
      <c r="IG46" t="e">
        <f>AND('Surface Coating'!#REF!,"AAAAAF/Ne/A=")</f>
        <v>#REF!</v>
      </c>
      <c r="IH46" t="e">
        <f>AND('Surface Coating'!#REF!,"AAAAAF/Ne/E=")</f>
        <v>#REF!</v>
      </c>
      <c r="II46" t="e">
        <f>AND('Surface Coating'!#REF!,"AAAAAF/Ne/I=")</f>
        <v>#REF!</v>
      </c>
      <c r="IJ46" t="e">
        <f>AND('Surface Coating'!#REF!,"AAAAAF/Ne/M=")</f>
        <v>#REF!</v>
      </c>
      <c r="IK46" t="e">
        <f>AND('Surface Coating'!#REF!,"AAAAAF/Ne/Q=")</f>
        <v>#REF!</v>
      </c>
      <c r="IL46" t="e">
        <f>AND('Surface Coating'!#REF!,"AAAAAF/Ne/U=")</f>
        <v>#REF!</v>
      </c>
      <c r="IM46" t="e">
        <f>AND('Surface Coating'!#REF!,"AAAAAF/Ne/Y=")</f>
        <v>#REF!</v>
      </c>
      <c r="IN46" t="e">
        <f>AND('Surface Coating'!#REF!,"AAAAAF/Ne/c=")</f>
        <v>#REF!</v>
      </c>
      <c r="IO46" t="e">
        <f>AND('Surface Coating'!#REF!,"AAAAAF/Ne/g=")</f>
        <v>#REF!</v>
      </c>
      <c r="IP46" t="e">
        <f>AND('Surface Coating'!#REF!,"AAAAAF/Ne/k=")</f>
        <v>#REF!</v>
      </c>
      <c r="IQ46" t="e">
        <f>AND('Surface Coating'!#REF!,"AAAAAF/Ne/o=")</f>
        <v>#REF!</v>
      </c>
      <c r="IR46" t="e">
        <f>AND('Surface Coating'!#REF!,"AAAAAF/Ne/s=")</f>
        <v>#REF!</v>
      </c>
      <c r="IS46" t="e">
        <f>AND('Surface Coating'!#REF!,"AAAAAF/Ne/w=")</f>
        <v>#REF!</v>
      </c>
      <c r="IT46" t="e">
        <f>AND('Surface Coating'!#REF!,"AAAAAF/Ne/0=")</f>
        <v>#REF!</v>
      </c>
      <c r="IU46" t="e">
        <f>AND('Surface Coating'!#REF!,"AAAAAF/Ne/4=")</f>
        <v>#REF!</v>
      </c>
      <c r="IV46" t="e">
        <f>AND('Surface Coating'!#REF!,"AAAAAF/Ne/8=")</f>
        <v>#REF!</v>
      </c>
    </row>
    <row r="47" spans="1:256">
      <c r="A47" t="e">
        <f>AND('Surface Coating'!#REF!,"AAAAADV/vwA=")</f>
        <v>#REF!</v>
      </c>
      <c r="B47" t="e">
        <f>AND('Surface Coating'!#REF!,"AAAAADV/vwE=")</f>
        <v>#REF!</v>
      </c>
      <c r="C47" t="e">
        <f>AND('Surface Coating'!#REF!,"AAAAADV/vwI=")</f>
        <v>#REF!</v>
      </c>
      <c r="D47" t="e">
        <f>AND('Surface Coating'!#REF!,"AAAAADV/vwM=")</f>
        <v>#REF!</v>
      </c>
      <c r="E47" t="e">
        <f>AND('Surface Coating'!#REF!,"AAAAADV/vwQ=")</f>
        <v>#REF!</v>
      </c>
      <c r="F47" t="e">
        <f>IF('Surface Coating'!#REF!,"AAAAADV/vwU=",0)</f>
        <v>#REF!</v>
      </c>
      <c r="G47" t="e">
        <f>AND('Surface Coating'!#REF!,"AAAAADV/vwY=")</f>
        <v>#REF!</v>
      </c>
      <c r="H47" t="e">
        <f>AND('Surface Coating'!#REF!,"AAAAADV/vwc=")</f>
        <v>#REF!</v>
      </c>
      <c r="I47" t="e">
        <f>AND('Surface Coating'!#REF!,"AAAAADV/vwg=")</f>
        <v>#REF!</v>
      </c>
      <c r="J47" t="e">
        <f>AND('Surface Coating'!#REF!,"AAAAADV/vwk=")</f>
        <v>#REF!</v>
      </c>
      <c r="K47" t="e">
        <f>AND('Surface Coating'!#REF!,"AAAAADV/vwo=")</f>
        <v>#REF!</v>
      </c>
      <c r="L47" t="e">
        <f>AND('Surface Coating'!#REF!,"AAAAADV/vws=")</f>
        <v>#REF!</v>
      </c>
      <c r="M47" t="e">
        <f>AND('Surface Coating'!#REF!,"AAAAADV/vww=")</f>
        <v>#REF!</v>
      </c>
      <c r="N47" t="e">
        <f>AND('Surface Coating'!#REF!,"AAAAADV/vw0=")</f>
        <v>#REF!</v>
      </c>
      <c r="O47" t="e">
        <f>AND('Surface Coating'!#REF!,"AAAAADV/vw4=")</f>
        <v>#REF!</v>
      </c>
      <c r="P47" t="e">
        <f>AND('Surface Coating'!#REF!,"AAAAADV/vw8=")</f>
        <v>#REF!</v>
      </c>
      <c r="Q47" t="e">
        <f>AND('Surface Coating'!#REF!,"AAAAADV/vxA=")</f>
        <v>#REF!</v>
      </c>
      <c r="R47" t="e">
        <f>AND('Surface Coating'!#REF!,"AAAAADV/vxE=")</f>
        <v>#REF!</v>
      </c>
      <c r="S47" t="e">
        <f>AND('Surface Coating'!#REF!,"AAAAADV/vxI=")</f>
        <v>#REF!</v>
      </c>
      <c r="T47" t="e">
        <f>AND('Surface Coating'!#REF!,"AAAAADV/vxM=")</f>
        <v>#REF!</v>
      </c>
      <c r="U47" t="e">
        <f>AND('Surface Coating'!#REF!,"AAAAADV/vxQ=")</f>
        <v>#REF!</v>
      </c>
      <c r="V47" t="e">
        <f>AND('Surface Coating'!#REF!,"AAAAADV/vxU=")</f>
        <v>#REF!</v>
      </c>
      <c r="W47" t="e">
        <f>AND('Surface Coating'!#REF!,"AAAAADV/vxY=")</f>
        <v>#REF!</v>
      </c>
      <c r="X47" t="e">
        <f>AND('Surface Coating'!#REF!,"AAAAADV/vxc=")</f>
        <v>#REF!</v>
      </c>
      <c r="Y47" t="e">
        <f>AND('Surface Coating'!#REF!,"AAAAADV/vxg=")</f>
        <v>#REF!</v>
      </c>
      <c r="Z47" t="e">
        <f>AND('Surface Coating'!#REF!,"AAAAADV/vxk=")</f>
        <v>#REF!</v>
      </c>
      <c r="AA47" t="e">
        <f>AND('Surface Coating'!#REF!,"AAAAADV/vxo=")</f>
        <v>#REF!</v>
      </c>
      <c r="AB47" t="e">
        <f>AND('Surface Coating'!#REF!,"AAAAADV/vxs=")</f>
        <v>#REF!</v>
      </c>
      <c r="AC47" t="e">
        <f>AND('Surface Coating'!#REF!,"AAAAADV/vxw=")</f>
        <v>#REF!</v>
      </c>
      <c r="AD47" t="e">
        <f>AND('Surface Coating'!#REF!,"AAAAADV/vx0=")</f>
        <v>#REF!</v>
      </c>
      <c r="AE47" t="e">
        <f>AND('Surface Coating'!#REF!,"AAAAADV/vx4=")</f>
        <v>#REF!</v>
      </c>
      <c r="AF47" t="e">
        <f>IF('Surface Coating'!#REF!,"AAAAADV/vx8=",0)</f>
        <v>#REF!</v>
      </c>
      <c r="AG47" t="e">
        <f>AND('Surface Coating'!#REF!,"AAAAADV/vyA=")</f>
        <v>#REF!</v>
      </c>
      <c r="AH47" t="e">
        <f>AND('Surface Coating'!#REF!,"AAAAADV/vyE=")</f>
        <v>#REF!</v>
      </c>
      <c r="AI47" t="e">
        <f>AND('Surface Coating'!#REF!,"AAAAADV/vyI=")</f>
        <v>#REF!</v>
      </c>
      <c r="AJ47" t="e">
        <f>AND('Surface Coating'!#REF!,"AAAAADV/vyM=")</f>
        <v>#REF!</v>
      </c>
      <c r="AK47" t="e">
        <f>AND('Surface Coating'!#REF!,"AAAAADV/vyQ=")</f>
        <v>#REF!</v>
      </c>
      <c r="AL47" t="e">
        <f>AND('Surface Coating'!#REF!,"AAAAADV/vyU=")</f>
        <v>#REF!</v>
      </c>
      <c r="AM47" t="e">
        <f>AND('Surface Coating'!#REF!,"AAAAADV/vyY=")</f>
        <v>#REF!</v>
      </c>
      <c r="AN47" t="e">
        <f>AND('Surface Coating'!#REF!,"AAAAADV/vyc=")</f>
        <v>#REF!</v>
      </c>
      <c r="AO47" t="e">
        <f>AND('Surface Coating'!#REF!,"AAAAADV/vyg=")</f>
        <v>#REF!</v>
      </c>
      <c r="AP47" t="e">
        <f>AND('Surface Coating'!#REF!,"AAAAADV/vyk=")</f>
        <v>#REF!</v>
      </c>
      <c r="AQ47" t="e">
        <f>AND('Surface Coating'!#REF!,"AAAAADV/vyo=")</f>
        <v>#REF!</v>
      </c>
      <c r="AR47" t="e">
        <f>AND('Surface Coating'!#REF!,"AAAAADV/vys=")</f>
        <v>#REF!</v>
      </c>
      <c r="AS47" t="e">
        <f>AND('Surface Coating'!#REF!,"AAAAADV/vyw=")</f>
        <v>#REF!</v>
      </c>
      <c r="AT47" t="e">
        <f>AND('Surface Coating'!#REF!,"AAAAADV/vy0=")</f>
        <v>#REF!</v>
      </c>
      <c r="AU47" t="e">
        <f>AND('Surface Coating'!#REF!,"AAAAADV/vy4=")</f>
        <v>#REF!</v>
      </c>
      <c r="AV47" t="e">
        <f>AND('Surface Coating'!#REF!,"AAAAADV/vy8=")</f>
        <v>#REF!</v>
      </c>
      <c r="AW47" t="e">
        <f>AND('Surface Coating'!#REF!,"AAAAADV/vzA=")</f>
        <v>#REF!</v>
      </c>
      <c r="AX47" t="e">
        <f>AND('Surface Coating'!#REF!,"AAAAADV/vzE=")</f>
        <v>#REF!</v>
      </c>
      <c r="AY47" t="e">
        <f>AND('Surface Coating'!#REF!,"AAAAADV/vzI=")</f>
        <v>#REF!</v>
      </c>
      <c r="AZ47" t="e">
        <f>AND('Surface Coating'!#REF!,"AAAAADV/vzM=")</f>
        <v>#REF!</v>
      </c>
      <c r="BA47" t="e">
        <f>AND('Surface Coating'!#REF!,"AAAAADV/vzQ=")</f>
        <v>#REF!</v>
      </c>
      <c r="BB47" t="e">
        <f>AND('Surface Coating'!#REF!,"AAAAADV/vzU=")</f>
        <v>#REF!</v>
      </c>
      <c r="BC47" t="e">
        <f>AND('Surface Coating'!#REF!,"AAAAADV/vzY=")</f>
        <v>#REF!</v>
      </c>
      <c r="BD47" t="e">
        <f>AND('Surface Coating'!#REF!,"AAAAADV/vzc=")</f>
        <v>#REF!</v>
      </c>
      <c r="BE47" t="e">
        <f>AND('Surface Coating'!#REF!,"AAAAADV/vzg=")</f>
        <v>#REF!</v>
      </c>
      <c r="BF47" t="e">
        <f>IF('Surface Coating'!#REF!,"AAAAADV/vzk=",0)</f>
        <v>#REF!</v>
      </c>
      <c r="BG47" t="e">
        <f>AND('Surface Coating'!#REF!,"AAAAADV/vzo=")</f>
        <v>#REF!</v>
      </c>
      <c r="BH47" t="e">
        <f>AND('Surface Coating'!#REF!,"AAAAADV/vzs=")</f>
        <v>#REF!</v>
      </c>
      <c r="BI47" t="e">
        <f>AND('Surface Coating'!#REF!,"AAAAADV/vzw=")</f>
        <v>#REF!</v>
      </c>
      <c r="BJ47" t="e">
        <f>AND('Surface Coating'!#REF!,"AAAAADV/vz0=")</f>
        <v>#REF!</v>
      </c>
      <c r="BK47" t="e">
        <f>AND('Surface Coating'!#REF!,"AAAAADV/vz4=")</f>
        <v>#REF!</v>
      </c>
      <c r="BL47" t="e">
        <f>AND('Surface Coating'!#REF!,"AAAAADV/vz8=")</f>
        <v>#REF!</v>
      </c>
      <c r="BM47" t="e">
        <f>AND('Surface Coating'!#REF!,"AAAAADV/v0A=")</f>
        <v>#REF!</v>
      </c>
      <c r="BN47" t="e">
        <f>AND('Surface Coating'!#REF!,"AAAAADV/v0E=")</f>
        <v>#REF!</v>
      </c>
      <c r="BO47" t="e">
        <f>AND('Surface Coating'!#REF!,"AAAAADV/v0I=")</f>
        <v>#REF!</v>
      </c>
      <c r="BP47" t="e">
        <f>AND('Surface Coating'!#REF!,"AAAAADV/v0M=")</f>
        <v>#REF!</v>
      </c>
      <c r="BQ47" t="e">
        <f>AND('Surface Coating'!#REF!,"AAAAADV/v0Q=")</f>
        <v>#REF!</v>
      </c>
      <c r="BR47" t="e">
        <f>AND('Surface Coating'!#REF!,"AAAAADV/v0U=")</f>
        <v>#REF!</v>
      </c>
      <c r="BS47" t="e">
        <f>AND('Surface Coating'!#REF!,"AAAAADV/v0Y=")</f>
        <v>#REF!</v>
      </c>
      <c r="BT47" t="e">
        <f>AND('Surface Coating'!#REF!,"AAAAADV/v0c=")</f>
        <v>#REF!</v>
      </c>
      <c r="BU47" t="e">
        <f>AND('Surface Coating'!#REF!,"AAAAADV/v0g=")</f>
        <v>#REF!</v>
      </c>
      <c r="BV47" t="e">
        <f>AND('Surface Coating'!#REF!,"AAAAADV/v0k=")</f>
        <v>#REF!</v>
      </c>
      <c r="BW47" t="e">
        <f>AND('Surface Coating'!#REF!,"AAAAADV/v0o=")</f>
        <v>#REF!</v>
      </c>
      <c r="BX47" t="e">
        <f>AND('Surface Coating'!#REF!,"AAAAADV/v0s=")</f>
        <v>#REF!</v>
      </c>
      <c r="BY47" t="e">
        <f>AND('Surface Coating'!#REF!,"AAAAADV/v0w=")</f>
        <v>#REF!</v>
      </c>
      <c r="BZ47" t="e">
        <f>AND('Surface Coating'!#REF!,"AAAAADV/v00=")</f>
        <v>#REF!</v>
      </c>
      <c r="CA47" t="e">
        <f>AND('Surface Coating'!#REF!,"AAAAADV/v04=")</f>
        <v>#REF!</v>
      </c>
      <c r="CB47" t="e">
        <f>AND('Surface Coating'!#REF!,"AAAAADV/v08=")</f>
        <v>#REF!</v>
      </c>
      <c r="CC47" t="e">
        <f>AND('Surface Coating'!#REF!,"AAAAADV/v1A=")</f>
        <v>#REF!</v>
      </c>
      <c r="CD47" t="e">
        <f>AND('Surface Coating'!#REF!,"AAAAADV/v1E=")</f>
        <v>#REF!</v>
      </c>
      <c r="CE47" t="e">
        <f>AND('Surface Coating'!#REF!,"AAAAADV/v1I=")</f>
        <v>#REF!</v>
      </c>
      <c r="CF47" t="e">
        <f>IF('Surface Coating'!#REF!,"AAAAADV/v1M=",0)</f>
        <v>#REF!</v>
      </c>
      <c r="CG47" t="e">
        <f>AND('Surface Coating'!#REF!,"AAAAADV/v1Q=")</f>
        <v>#REF!</v>
      </c>
      <c r="CH47" t="e">
        <f>AND('Surface Coating'!#REF!,"AAAAADV/v1U=")</f>
        <v>#REF!</v>
      </c>
      <c r="CI47" t="e">
        <f>AND('Surface Coating'!#REF!,"AAAAADV/v1Y=")</f>
        <v>#REF!</v>
      </c>
      <c r="CJ47" t="e">
        <f>AND('Surface Coating'!#REF!,"AAAAADV/v1c=")</f>
        <v>#REF!</v>
      </c>
      <c r="CK47" t="e">
        <f>AND('Surface Coating'!#REF!,"AAAAADV/v1g=")</f>
        <v>#REF!</v>
      </c>
      <c r="CL47" t="e">
        <f>AND('Surface Coating'!#REF!,"AAAAADV/v1k=")</f>
        <v>#REF!</v>
      </c>
      <c r="CM47" t="e">
        <f>AND('Surface Coating'!#REF!,"AAAAADV/v1o=")</f>
        <v>#REF!</v>
      </c>
      <c r="CN47" t="e">
        <f>AND('Surface Coating'!#REF!,"AAAAADV/v1s=")</f>
        <v>#REF!</v>
      </c>
      <c r="CO47" t="e">
        <f>AND('Surface Coating'!#REF!,"AAAAADV/v1w=")</f>
        <v>#REF!</v>
      </c>
      <c r="CP47" t="e">
        <f>AND('Surface Coating'!#REF!,"AAAAADV/v10=")</f>
        <v>#REF!</v>
      </c>
      <c r="CQ47" t="e">
        <f>AND('Surface Coating'!#REF!,"AAAAADV/v14=")</f>
        <v>#REF!</v>
      </c>
      <c r="CR47" t="e">
        <f>AND('Surface Coating'!#REF!,"AAAAADV/v18=")</f>
        <v>#REF!</v>
      </c>
      <c r="CS47" t="e">
        <f>AND('Surface Coating'!#REF!,"AAAAADV/v2A=")</f>
        <v>#REF!</v>
      </c>
      <c r="CT47" t="e">
        <f>AND('Surface Coating'!#REF!,"AAAAADV/v2E=")</f>
        <v>#REF!</v>
      </c>
      <c r="CU47" t="e">
        <f>AND('Surface Coating'!#REF!,"AAAAADV/v2I=")</f>
        <v>#REF!</v>
      </c>
      <c r="CV47" t="e">
        <f>AND('Surface Coating'!#REF!,"AAAAADV/v2M=")</f>
        <v>#REF!</v>
      </c>
      <c r="CW47" t="e">
        <f>AND('Surface Coating'!#REF!,"AAAAADV/v2Q=")</f>
        <v>#REF!</v>
      </c>
      <c r="CX47" t="e">
        <f>AND('Surface Coating'!#REF!,"AAAAADV/v2U=")</f>
        <v>#REF!</v>
      </c>
      <c r="CY47" t="e">
        <f>AND('Surface Coating'!#REF!,"AAAAADV/v2Y=")</f>
        <v>#REF!</v>
      </c>
      <c r="CZ47" t="e">
        <f>AND('Surface Coating'!#REF!,"AAAAADV/v2c=")</f>
        <v>#REF!</v>
      </c>
      <c r="DA47" t="e">
        <f>AND('Surface Coating'!#REF!,"AAAAADV/v2g=")</f>
        <v>#REF!</v>
      </c>
      <c r="DB47" t="e">
        <f>AND('Surface Coating'!#REF!,"AAAAADV/v2k=")</f>
        <v>#REF!</v>
      </c>
      <c r="DC47" t="e">
        <f>AND('Surface Coating'!#REF!,"AAAAADV/v2o=")</f>
        <v>#REF!</v>
      </c>
      <c r="DD47" t="e">
        <f>AND('Surface Coating'!#REF!,"AAAAADV/v2s=")</f>
        <v>#REF!</v>
      </c>
      <c r="DE47" t="e">
        <f>AND('Surface Coating'!#REF!,"AAAAADV/v2w=")</f>
        <v>#REF!</v>
      </c>
      <c r="DF47" t="e">
        <f>IF('Surface Coating'!#REF!,"AAAAADV/v20=",0)</f>
        <v>#REF!</v>
      </c>
      <c r="DG47" t="e">
        <f>AND('Surface Coating'!#REF!,"AAAAADV/v24=")</f>
        <v>#REF!</v>
      </c>
      <c r="DH47" t="e">
        <f>AND('Surface Coating'!#REF!,"AAAAADV/v28=")</f>
        <v>#REF!</v>
      </c>
      <c r="DI47" t="e">
        <f>AND('Surface Coating'!#REF!,"AAAAADV/v3A=")</f>
        <v>#REF!</v>
      </c>
      <c r="DJ47" t="e">
        <f>AND('Surface Coating'!#REF!,"AAAAADV/v3E=")</f>
        <v>#REF!</v>
      </c>
      <c r="DK47" t="e">
        <f>AND('Surface Coating'!#REF!,"AAAAADV/v3I=")</f>
        <v>#REF!</v>
      </c>
      <c r="DL47" t="e">
        <f>AND('Surface Coating'!#REF!,"AAAAADV/v3M=")</f>
        <v>#REF!</v>
      </c>
      <c r="DM47" t="e">
        <f>AND('Surface Coating'!#REF!,"AAAAADV/v3Q=")</f>
        <v>#REF!</v>
      </c>
      <c r="DN47" t="e">
        <f>AND('Surface Coating'!#REF!,"AAAAADV/v3U=")</f>
        <v>#REF!</v>
      </c>
      <c r="DO47" t="e">
        <f>AND('Surface Coating'!#REF!,"AAAAADV/v3Y=")</f>
        <v>#REF!</v>
      </c>
      <c r="DP47" t="e">
        <f>AND('Surface Coating'!#REF!,"AAAAADV/v3c=")</f>
        <v>#REF!</v>
      </c>
      <c r="DQ47" t="e">
        <f>AND('Surface Coating'!#REF!,"AAAAADV/v3g=")</f>
        <v>#REF!</v>
      </c>
      <c r="DR47" t="e">
        <f>AND('Surface Coating'!#REF!,"AAAAADV/v3k=")</f>
        <v>#REF!</v>
      </c>
      <c r="DS47" t="e">
        <f>AND('Surface Coating'!#REF!,"AAAAADV/v3o=")</f>
        <v>#REF!</v>
      </c>
      <c r="DT47" t="e">
        <f>AND('Surface Coating'!#REF!,"AAAAADV/v3s=")</f>
        <v>#REF!</v>
      </c>
      <c r="DU47" t="e">
        <f>AND('Surface Coating'!#REF!,"AAAAADV/v3w=")</f>
        <v>#REF!</v>
      </c>
      <c r="DV47" t="e">
        <f>AND('Surface Coating'!#REF!,"AAAAADV/v30=")</f>
        <v>#REF!</v>
      </c>
      <c r="DW47" t="e">
        <f>AND('Surface Coating'!#REF!,"AAAAADV/v34=")</f>
        <v>#REF!</v>
      </c>
      <c r="DX47" t="e">
        <f>AND('Surface Coating'!#REF!,"AAAAADV/v38=")</f>
        <v>#REF!</v>
      </c>
      <c r="DY47" t="e">
        <f>AND('Surface Coating'!#REF!,"AAAAADV/v4A=")</f>
        <v>#REF!</v>
      </c>
      <c r="DZ47" t="e">
        <f>AND('Surface Coating'!#REF!,"AAAAADV/v4E=")</f>
        <v>#REF!</v>
      </c>
      <c r="EA47" t="e">
        <f>AND('Surface Coating'!#REF!,"AAAAADV/v4I=")</f>
        <v>#REF!</v>
      </c>
      <c r="EB47" t="e">
        <f>AND('Surface Coating'!#REF!,"AAAAADV/v4M=")</f>
        <v>#REF!</v>
      </c>
      <c r="EC47" t="e">
        <f>AND('Surface Coating'!#REF!,"AAAAADV/v4Q=")</f>
        <v>#REF!</v>
      </c>
      <c r="ED47" t="e">
        <f>AND('Surface Coating'!#REF!,"AAAAADV/v4U=")</f>
        <v>#REF!</v>
      </c>
      <c r="EE47" t="e">
        <f>AND('Surface Coating'!#REF!,"AAAAADV/v4Y=")</f>
        <v>#REF!</v>
      </c>
      <c r="EF47" t="e">
        <f>IF('Surface Coating'!#REF!,"AAAAADV/v4c=",0)</f>
        <v>#REF!</v>
      </c>
      <c r="EG47" t="e">
        <f>AND('Surface Coating'!#REF!,"AAAAADV/v4g=")</f>
        <v>#REF!</v>
      </c>
      <c r="EH47" t="e">
        <f>AND('Surface Coating'!#REF!,"AAAAADV/v4k=")</f>
        <v>#REF!</v>
      </c>
      <c r="EI47" t="e">
        <f>AND('Surface Coating'!#REF!,"AAAAADV/v4o=")</f>
        <v>#REF!</v>
      </c>
      <c r="EJ47" t="e">
        <f>AND('Surface Coating'!#REF!,"AAAAADV/v4s=")</f>
        <v>#REF!</v>
      </c>
      <c r="EK47" t="e">
        <f>AND('Surface Coating'!#REF!,"AAAAADV/v4w=")</f>
        <v>#REF!</v>
      </c>
      <c r="EL47" t="e">
        <f>AND('Surface Coating'!#REF!,"AAAAADV/v40=")</f>
        <v>#REF!</v>
      </c>
      <c r="EM47" t="e">
        <f>AND('Surface Coating'!#REF!,"AAAAADV/v44=")</f>
        <v>#REF!</v>
      </c>
      <c r="EN47" t="e">
        <f>AND('Surface Coating'!#REF!,"AAAAADV/v48=")</f>
        <v>#REF!</v>
      </c>
      <c r="EO47" t="e">
        <f>AND('Surface Coating'!#REF!,"AAAAADV/v5A=")</f>
        <v>#REF!</v>
      </c>
      <c r="EP47" t="e">
        <f>AND('Surface Coating'!#REF!,"AAAAADV/v5E=")</f>
        <v>#REF!</v>
      </c>
      <c r="EQ47" t="e">
        <f>AND('Surface Coating'!#REF!,"AAAAADV/v5I=")</f>
        <v>#REF!</v>
      </c>
      <c r="ER47" t="e">
        <f>AND('Surface Coating'!#REF!,"AAAAADV/v5M=")</f>
        <v>#REF!</v>
      </c>
      <c r="ES47" t="e">
        <f>AND('Surface Coating'!#REF!,"AAAAADV/v5Q=")</f>
        <v>#REF!</v>
      </c>
      <c r="ET47" t="e">
        <f>AND('Surface Coating'!#REF!,"AAAAADV/v5U=")</f>
        <v>#REF!</v>
      </c>
      <c r="EU47" t="e">
        <f>AND('Surface Coating'!#REF!,"AAAAADV/v5Y=")</f>
        <v>#REF!</v>
      </c>
      <c r="EV47" t="e">
        <f>AND('Surface Coating'!#REF!,"AAAAADV/v5c=")</f>
        <v>#REF!</v>
      </c>
      <c r="EW47" t="e">
        <f>AND('Surface Coating'!#REF!,"AAAAADV/v5g=")</f>
        <v>#REF!</v>
      </c>
      <c r="EX47" t="e">
        <f>AND('Surface Coating'!#REF!,"AAAAADV/v5k=")</f>
        <v>#REF!</v>
      </c>
      <c r="EY47" t="e">
        <f>AND('Surface Coating'!#REF!,"AAAAADV/v5o=")</f>
        <v>#REF!</v>
      </c>
      <c r="EZ47" t="e">
        <f>AND('Surface Coating'!#REF!,"AAAAADV/v5s=")</f>
        <v>#REF!</v>
      </c>
      <c r="FA47" t="e">
        <f>AND('Surface Coating'!#REF!,"AAAAADV/v5w=")</f>
        <v>#REF!</v>
      </c>
      <c r="FB47" t="e">
        <f>AND('Surface Coating'!#REF!,"AAAAADV/v50=")</f>
        <v>#REF!</v>
      </c>
      <c r="FC47" t="e">
        <f>AND('Surface Coating'!#REF!,"AAAAADV/v54=")</f>
        <v>#REF!</v>
      </c>
      <c r="FD47" t="e">
        <f>AND('Surface Coating'!#REF!,"AAAAADV/v58=")</f>
        <v>#REF!</v>
      </c>
      <c r="FE47" t="e">
        <f>AND('Surface Coating'!#REF!,"AAAAADV/v6A=")</f>
        <v>#REF!</v>
      </c>
      <c r="FF47" t="e">
        <f>IF('Surface Coating'!#REF!,"AAAAADV/v6E=",0)</f>
        <v>#REF!</v>
      </c>
      <c r="FG47" t="e">
        <f>AND('Surface Coating'!#REF!,"AAAAADV/v6I=")</f>
        <v>#REF!</v>
      </c>
      <c r="FH47" t="e">
        <f>AND('Surface Coating'!#REF!,"AAAAADV/v6M=")</f>
        <v>#REF!</v>
      </c>
      <c r="FI47" t="e">
        <f>AND('Surface Coating'!#REF!,"AAAAADV/v6Q=")</f>
        <v>#REF!</v>
      </c>
      <c r="FJ47" t="e">
        <f>AND('Surface Coating'!#REF!,"AAAAADV/v6U=")</f>
        <v>#REF!</v>
      </c>
      <c r="FK47" t="e">
        <f>AND('Surface Coating'!#REF!,"AAAAADV/v6Y=")</f>
        <v>#REF!</v>
      </c>
      <c r="FL47" t="e">
        <f>AND('Surface Coating'!#REF!,"AAAAADV/v6c=")</f>
        <v>#REF!</v>
      </c>
      <c r="FM47" t="e">
        <f>AND('Surface Coating'!#REF!,"AAAAADV/v6g=")</f>
        <v>#REF!</v>
      </c>
      <c r="FN47" t="e">
        <f>AND('Surface Coating'!#REF!,"AAAAADV/v6k=")</f>
        <v>#REF!</v>
      </c>
      <c r="FO47" t="e">
        <f>AND('Surface Coating'!#REF!,"AAAAADV/v6o=")</f>
        <v>#REF!</v>
      </c>
      <c r="FP47" t="e">
        <f>AND('Surface Coating'!#REF!,"AAAAADV/v6s=")</f>
        <v>#REF!</v>
      </c>
      <c r="FQ47" t="e">
        <f>AND('Surface Coating'!#REF!,"AAAAADV/v6w=")</f>
        <v>#REF!</v>
      </c>
      <c r="FR47" t="e">
        <f>AND('Surface Coating'!#REF!,"AAAAADV/v60=")</f>
        <v>#REF!</v>
      </c>
      <c r="FS47" t="e">
        <f>AND('Surface Coating'!#REF!,"AAAAADV/v64=")</f>
        <v>#REF!</v>
      </c>
      <c r="FT47" t="e">
        <f>AND('Surface Coating'!#REF!,"AAAAADV/v68=")</f>
        <v>#REF!</v>
      </c>
      <c r="FU47" t="e">
        <f>AND('Surface Coating'!#REF!,"AAAAADV/v7A=")</f>
        <v>#REF!</v>
      </c>
      <c r="FV47" t="e">
        <f>AND('Surface Coating'!#REF!,"AAAAADV/v7E=")</f>
        <v>#REF!</v>
      </c>
      <c r="FW47" t="e">
        <f>AND('Surface Coating'!#REF!,"AAAAADV/v7I=")</f>
        <v>#REF!</v>
      </c>
      <c r="FX47" t="e">
        <f>AND('Surface Coating'!#REF!,"AAAAADV/v7M=")</f>
        <v>#REF!</v>
      </c>
      <c r="FY47" t="e">
        <f>AND('Surface Coating'!#REF!,"AAAAADV/v7Q=")</f>
        <v>#REF!</v>
      </c>
      <c r="FZ47" t="e">
        <f>AND('Surface Coating'!#REF!,"AAAAADV/v7U=")</f>
        <v>#REF!</v>
      </c>
      <c r="GA47" t="e">
        <f>AND('Surface Coating'!#REF!,"AAAAADV/v7Y=")</f>
        <v>#REF!</v>
      </c>
      <c r="GB47" t="e">
        <f>AND('Surface Coating'!#REF!,"AAAAADV/v7c=")</f>
        <v>#REF!</v>
      </c>
      <c r="GC47" t="e">
        <f>AND('Surface Coating'!#REF!,"AAAAADV/v7g=")</f>
        <v>#REF!</v>
      </c>
      <c r="GD47" t="e">
        <f>AND('Surface Coating'!#REF!,"AAAAADV/v7k=")</f>
        <v>#REF!</v>
      </c>
      <c r="GE47" t="e">
        <f>AND('Surface Coating'!#REF!,"AAAAADV/v7o=")</f>
        <v>#REF!</v>
      </c>
      <c r="GF47" t="e">
        <f>IF('Surface Coating'!#REF!,"AAAAADV/v7s=",0)</f>
        <v>#REF!</v>
      </c>
      <c r="GG47" t="e">
        <f>AND('Surface Coating'!#REF!,"AAAAADV/v7w=")</f>
        <v>#REF!</v>
      </c>
      <c r="GH47" t="e">
        <f>AND('Surface Coating'!#REF!,"AAAAADV/v70=")</f>
        <v>#REF!</v>
      </c>
      <c r="GI47" t="e">
        <f>AND('Surface Coating'!#REF!,"AAAAADV/v74=")</f>
        <v>#REF!</v>
      </c>
      <c r="GJ47" t="e">
        <f>AND('Surface Coating'!#REF!,"AAAAADV/v78=")</f>
        <v>#REF!</v>
      </c>
      <c r="GK47" t="e">
        <f>AND('Surface Coating'!#REF!,"AAAAADV/v8A=")</f>
        <v>#REF!</v>
      </c>
      <c r="GL47" t="e">
        <f>AND('Surface Coating'!#REF!,"AAAAADV/v8E=")</f>
        <v>#REF!</v>
      </c>
      <c r="GM47" t="e">
        <f>AND('Surface Coating'!#REF!,"AAAAADV/v8I=")</f>
        <v>#REF!</v>
      </c>
      <c r="GN47" t="e">
        <f>AND('Surface Coating'!#REF!,"AAAAADV/v8M=")</f>
        <v>#REF!</v>
      </c>
      <c r="GO47" t="e">
        <f>AND('Surface Coating'!#REF!,"AAAAADV/v8Q=")</f>
        <v>#REF!</v>
      </c>
      <c r="GP47" t="e">
        <f>AND('Surface Coating'!#REF!,"AAAAADV/v8U=")</f>
        <v>#REF!</v>
      </c>
      <c r="GQ47" t="e">
        <f>AND('Surface Coating'!#REF!,"AAAAADV/v8Y=")</f>
        <v>#REF!</v>
      </c>
      <c r="GR47" t="e">
        <f>AND('Surface Coating'!#REF!,"AAAAADV/v8c=")</f>
        <v>#REF!</v>
      </c>
      <c r="GS47" t="e">
        <f>AND('Surface Coating'!#REF!,"AAAAADV/v8g=")</f>
        <v>#REF!</v>
      </c>
      <c r="GT47" t="e">
        <f>AND('Surface Coating'!#REF!,"AAAAADV/v8k=")</f>
        <v>#REF!</v>
      </c>
      <c r="GU47" t="e">
        <f>AND('Surface Coating'!#REF!,"AAAAADV/v8o=")</f>
        <v>#REF!</v>
      </c>
      <c r="GV47" t="e">
        <f>AND('Surface Coating'!#REF!,"AAAAADV/v8s=")</f>
        <v>#REF!</v>
      </c>
      <c r="GW47" t="e">
        <f>AND('Surface Coating'!#REF!,"AAAAADV/v8w=")</f>
        <v>#REF!</v>
      </c>
      <c r="GX47" t="e">
        <f>AND('Surface Coating'!#REF!,"AAAAADV/v80=")</f>
        <v>#REF!</v>
      </c>
      <c r="GY47" t="e">
        <f>AND('Surface Coating'!#REF!,"AAAAADV/v84=")</f>
        <v>#REF!</v>
      </c>
      <c r="GZ47" t="e">
        <f>AND('Surface Coating'!#REF!,"AAAAADV/v88=")</f>
        <v>#REF!</v>
      </c>
      <c r="HA47" t="e">
        <f>AND('Surface Coating'!#REF!,"AAAAADV/v9A=")</f>
        <v>#REF!</v>
      </c>
      <c r="HB47" t="e">
        <f>AND('Surface Coating'!#REF!,"AAAAADV/v9E=")</f>
        <v>#REF!</v>
      </c>
      <c r="HC47" t="e">
        <f>AND('Surface Coating'!#REF!,"AAAAADV/v9I=")</f>
        <v>#REF!</v>
      </c>
      <c r="HD47" t="e">
        <f>AND('Surface Coating'!#REF!,"AAAAADV/v9M=")</f>
        <v>#REF!</v>
      </c>
      <c r="HE47" t="e">
        <f>AND('Surface Coating'!#REF!,"AAAAADV/v9Q=")</f>
        <v>#REF!</v>
      </c>
      <c r="HF47" t="e">
        <f>IF('Surface Coating'!#REF!,"AAAAADV/v9U=",0)</f>
        <v>#REF!</v>
      </c>
      <c r="HG47" t="e">
        <f>AND('Surface Coating'!#REF!,"AAAAADV/v9Y=")</f>
        <v>#REF!</v>
      </c>
      <c r="HH47" t="e">
        <f>AND('Surface Coating'!#REF!,"AAAAADV/v9c=")</f>
        <v>#REF!</v>
      </c>
      <c r="HI47" t="e">
        <f>AND('Surface Coating'!#REF!,"AAAAADV/v9g=")</f>
        <v>#REF!</v>
      </c>
      <c r="HJ47" t="e">
        <f>AND('Surface Coating'!#REF!,"AAAAADV/v9k=")</f>
        <v>#REF!</v>
      </c>
      <c r="HK47" t="e">
        <f>AND('Surface Coating'!#REF!,"AAAAADV/v9o=")</f>
        <v>#REF!</v>
      </c>
      <c r="HL47" t="e">
        <f>AND('Surface Coating'!#REF!,"AAAAADV/v9s=")</f>
        <v>#REF!</v>
      </c>
      <c r="HM47" t="e">
        <f>AND('Surface Coating'!#REF!,"AAAAADV/v9w=")</f>
        <v>#REF!</v>
      </c>
      <c r="HN47" t="e">
        <f>AND('Surface Coating'!#REF!,"AAAAADV/v90=")</f>
        <v>#REF!</v>
      </c>
      <c r="HO47" t="e">
        <f>AND('Surface Coating'!#REF!,"AAAAADV/v94=")</f>
        <v>#REF!</v>
      </c>
      <c r="HP47" t="e">
        <f>AND('Surface Coating'!#REF!,"AAAAADV/v98=")</f>
        <v>#REF!</v>
      </c>
      <c r="HQ47" t="e">
        <f>AND('Surface Coating'!#REF!,"AAAAADV/v+A=")</f>
        <v>#REF!</v>
      </c>
      <c r="HR47" t="e">
        <f>AND('Surface Coating'!#REF!,"AAAAADV/v+E=")</f>
        <v>#REF!</v>
      </c>
      <c r="HS47" t="e">
        <f>AND('Surface Coating'!#REF!,"AAAAADV/v+I=")</f>
        <v>#REF!</v>
      </c>
      <c r="HT47" t="e">
        <f>AND('Surface Coating'!#REF!,"AAAAADV/v+M=")</f>
        <v>#REF!</v>
      </c>
      <c r="HU47" t="e">
        <f>AND('Surface Coating'!#REF!,"AAAAADV/v+Q=")</f>
        <v>#REF!</v>
      </c>
      <c r="HV47" t="e">
        <f>AND('Surface Coating'!#REF!,"AAAAADV/v+U=")</f>
        <v>#REF!</v>
      </c>
      <c r="HW47" t="e">
        <f>AND('Surface Coating'!#REF!,"AAAAADV/v+Y=")</f>
        <v>#REF!</v>
      </c>
      <c r="HX47" t="e">
        <f>AND('Surface Coating'!#REF!,"AAAAADV/v+c=")</f>
        <v>#REF!</v>
      </c>
      <c r="HY47" t="e">
        <f>AND('Surface Coating'!#REF!,"AAAAADV/v+g=")</f>
        <v>#REF!</v>
      </c>
      <c r="HZ47" t="e">
        <f>AND('Surface Coating'!#REF!,"AAAAADV/v+k=")</f>
        <v>#REF!</v>
      </c>
      <c r="IA47" t="e">
        <f>AND('Surface Coating'!#REF!,"AAAAADV/v+o=")</f>
        <v>#REF!</v>
      </c>
      <c r="IB47" t="e">
        <f>AND('Surface Coating'!#REF!,"AAAAADV/v+s=")</f>
        <v>#REF!</v>
      </c>
      <c r="IC47" t="e">
        <f>AND('Surface Coating'!#REF!,"AAAAADV/v+w=")</f>
        <v>#REF!</v>
      </c>
      <c r="ID47" t="e">
        <f>AND('Surface Coating'!#REF!,"AAAAADV/v+0=")</f>
        <v>#REF!</v>
      </c>
      <c r="IE47" t="e">
        <f>AND('Surface Coating'!#REF!,"AAAAADV/v+4=")</f>
        <v>#REF!</v>
      </c>
      <c r="IF47" t="e">
        <f>IF('Surface Coating'!#REF!,"AAAAADV/v+8=",0)</f>
        <v>#REF!</v>
      </c>
      <c r="IG47" t="e">
        <f>AND('Surface Coating'!#REF!,"AAAAADV/v/A=")</f>
        <v>#REF!</v>
      </c>
      <c r="IH47" t="e">
        <f>AND('Surface Coating'!#REF!,"AAAAADV/v/E=")</f>
        <v>#REF!</v>
      </c>
      <c r="II47" t="e">
        <f>AND('Surface Coating'!#REF!,"AAAAADV/v/I=")</f>
        <v>#REF!</v>
      </c>
      <c r="IJ47" t="e">
        <f>AND('Surface Coating'!#REF!,"AAAAADV/v/M=")</f>
        <v>#REF!</v>
      </c>
      <c r="IK47" t="e">
        <f>AND('Surface Coating'!#REF!,"AAAAADV/v/Q=")</f>
        <v>#REF!</v>
      </c>
      <c r="IL47" t="e">
        <f>AND('Surface Coating'!#REF!,"AAAAADV/v/U=")</f>
        <v>#REF!</v>
      </c>
      <c r="IM47" t="e">
        <f>AND('Surface Coating'!#REF!,"AAAAADV/v/Y=")</f>
        <v>#REF!</v>
      </c>
      <c r="IN47" t="e">
        <f>AND('Surface Coating'!#REF!,"AAAAADV/v/c=")</f>
        <v>#REF!</v>
      </c>
      <c r="IO47" t="e">
        <f>AND('Surface Coating'!#REF!,"AAAAADV/v/g=")</f>
        <v>#REF!</v>
      </c>
      <c r="IP47" t="e">
        <f>AND('Surface Coating'!#REF!,"AAAAADV/v/k=")</f>
        <v>#REF!</v>
      </c>
      <c r="IQ47" t="e">
        <f>AND('Surface Coating'!#REF!,"AAAAADV/v/o=")</f>
        <v>#REF!</v>
      </c>
      <c r="IR47" t="e">
        <f>AND('Surface Coating'!#REF!,"AAAAADV/v/s=")</f>
        <v>#REF!</v>
      </c>
      <c r="IS47" t="e">
        <f>AND('Surface Coating'!#REF!,"AAAAADV/v/w=")</f>
        <v>#REF!</v>
      </c>
      <c r="IT47" t="e">
        <f>AND('Surface Coating'!#REF!,"AAAAADV/v/0=")</f>
        <v>#REF!</v>
      </c>
      <c r="IU47" t="e">
        <f>AND('Surface Coating'!#REF!,"AAAAADV/v/4=")</f>
        <v>#REF!</v>
      </c>
      <c r="IV47" t="e">
        <f>AND('Surface Coating'!#REF!,"AAAAADV/v/8=")</f>
        <v>#REF!</v>
      </c>
    </row>
    <row r="48" spans="1:256">
      <c r="A48" t="e">
        <f>AND('Surface Coating'!#REF!,"AAAAAG+/ZgA=")</f>
        <v>#REF!</v>
      </c>
      <c r="B48" t="e">
        <f>AND('Surface Coating'!#REF!,"AAAAAG+/ZgE=")</f>
        <v>#REF!</v>
      </c>
      <c r="C48" t="e">
        <f>AND('Surface Coating'!#REF!,"AAAAAG+/ZgI=")</f>
        <v>#REF!</v>
      </c>
      <c r="D48" t="e">
        <f>AND('Surface Coating'!#REF!,"AAAAAG+/ZgM=")</f>
        <v>#REF!</v>
      </c>
      <c r="E48" t="e">
        <f>AND('Surface Coating'!#REF!,"AAAAAG+/ZgQ=")</f>
        <v>#REF!</v>
      </c>
      <c r="F48" t="e">
        <f>AND('Surface Coating'!#REF!,"AAAAAG+/ZgU=")</f>
        <v>#REF!</v>
      </c>
      <c r="G48" t="e">
        <f>AND('Surface Coating'!#REF!,"AAAAAG+/ZgY=")</f>
        <v>#REF!</v>
      </c>
      <c r="H48" t="e">
        <f>AND('Surface Coating'!#REF!,"AAAAAG+/Zgc=")</f>
        <v>#REF!</v>
      </c>
      <c r="I48" t="e">
        <f>AND('Surface Coating'!#REF!,"AAAAAG+/Zgg=")</f>
        <v>#REF!</v>
      </c>
      <c r="J48" t="e">
        <f>IF('Surface Coating'!#REF!,"AAAAAG+/Zgk=",0)</f>
        <v>#REF!</v>
      </c>
      <c r="K48" t="e">
        <f>AND('Surface Coating'!#REF!,"AAAAAG+/Zgo=")</f>
        <v>#REF!</v>
      </c>
      <c r="L48" t="e">
        <f>AND('Surface Coating'!#REF!,"AAAAAG+/Zgs=")</f>
        <v>#REF!</v>
      </c>
      <c r="M48" t="e">
        <f>AND('Surface Coating'!#REF!,"AAAAAG+/Zgw=")</f>
        <v>#REF!</v>
      </c>
      <c r="N48" t="e">
        <f>AND('Surface Coating'!#REF!,"AAAAAG+/Zg0=")</f>
        <v>#REF!</v>
      </c>
      <c r="O48" t="e">
        <f>AND('Surface Coating'!#REF!,"AAAAAG+/Zg4=")</f>
        <v>#REF!</v>
      </c>
      <c r="P48" t="e">
        <f>AND('Surface Coating'!#REF!,"AAAAAG+/Zg8=")</f>
        <v>#REF!</v>
      </c>
      <c r="Q48" t="e">
        <f>AND('Surface Coating'!#REF!,"AAAAAG+/ZhA=")</f>
        <v>#REF!</v>
      </c>
      <c r="R48" t="e">
        <f>AND('Surface Coating'!#REF!,"AAAAAG+/ZhE=")</f>
        <v>#REF!</v>
      </c>
      <c r="S48" t="e">
        <f>AND('Surface Coating'!#REF!,"AAAAAG+/ZhI=")</f>
        <v>#REF!</v>
      </c>
      <c r="T48" t="e">
        <f>AND('Surface Coating'!#REF!,"AAAAAG+/ZhM=")</f>
        <v>#REF!</v>
      </c>
      <c r="U48" t="e">
        <f>AND('Surface Coating'!#REF!,"AAAAAG+/ZhQ=")</f>
        <v>#REF!</v>
      </c>
      <c r="V48" t="e">
        <f>AND('Surface Coating'!#REF!,"AAAAAG+/ZhU=")</f>
        <v>#REF!</v>
      </c>
      <c r="W48" t="e">
        <f>AND('Surface Coating'!#REF!,"AAAAAG+/ZhY=")</f>
        <v>#REF!</v>
      </c>
      <c r="X48" t="e">
        <f>AND('Surface Coating'!#REF!,"AAAAAG+/Zhc=")</f>
        <v>#REF!</v>
      </c>
      <c r="Y48" t="e">
        <f>AND('Surface Coating'!#REF!,"AAAAAG+/Zhg=")</f>
        <v>#REF!</v>
      </c>
      <c r="Z48" t="e">
        <f>AND('Surface Coating'!#REF!,"AAAAAG+/Zhk=")</f>
        <v>#REF!</v>
      </c>
      <c r="AA48" t="e">
        <f>AND('Surface Coating'!#REF!,"AAAAAG+/Zho=")</f>
        <v>#REF!</v>
      </c>
      <c r="AB48" t="e">
        <f>AND('Surface Coating'!#REF!,"AAAAAG+/Zhs=")</f>
        <v>#REF!</v>
      </c>
      <c r="AC48" t="e">
        <f>AND('Surface Coating'!#REF!,"AAAAAG+/Zhw=")</f>
        <v>#REF!</v>
      </c>
      <c r="AD48" t="e">
        <f>AND('Surface Coating'!#REF!,"AAAAAG+/Zh0=")</f>
        <v>#REF!</v>
      </c>
      <c r="AE48" t="e">
        <f>AND('Surface Coating'!#REF!,"AAAAAG+/Zh4=")</f>
        <v>#REF!</v>
      </c>
      <c r="AF48" t="e">
        <f>AND('Surface Coating'!#REF!,"AAAAAG+/Zh8=")</f>
        <v>#REF!</v>
      </c>
      <c r="AG48" t="e">
        <f>AND('Surface Coating'!#REF!,"AAAAAG+/ZiA=")</f>
        <v>#REF!</v>
      </c>
      <c r="AH48" t="e">
        <f>AND('Surface Coating'!#REF!,"AAAAAG+/ZiE=")</f>
        <v>#REF!</v>
      </c>
      <c r="AI48" t="e">
        <f>AND('Surface Coating'!#REF!,"AAAAAG+/ZiI=")</f>
        <v>#REF!</v>
      </c>
      <c r="AJ48" t="e">
        <f>IF('Surface Coating'!#REF!,"AAAAAG+/ZiM=",0)</f>
        <v>#REF!</v>
      </c>
      <c r="AK48" t="e">
        <f>AND('Surface Coating'!#REF!,"AAAAAG+/ZiQ=")</f>
        <v>#REF!</v>
      </c>
      <c r="AL48" t="e">
        <f>AND('Surface Coating'!#REF!,"AAAAAG+/ZiU=")</f>
        <v>#REF!</v>
      </c>
      <c r="AM48" t="e">
        <f>AND('Surface Coating'!#REF!,"AAAAAG+/ZiY=")</f>
        <v>#REF!</v>
      </c>
      <c r="AN48" t="e">
        <f>AND('Surface Coating'!#REF!,"AAAAAG+/Zic=")</f>
        <v>#REF!</v>
      </c>
      <c r="AO48" t="e">
        <f>AND('Surface Coating'!#REF!,"AAAAAG+/Zig=")</f>
        <v>#REF!</v>
      </c>
      <c r="AP48" t="e">
        <f>AND('Surface Coating'!#REF!,"AAAAAG+/Zik=")</f>
        <v>#REF!</v>
      </c>
      <c r="AQ48" t="e">
        <f>AND('Surface Coating'!#REF!,"AAAAAG+/Zio=")</f>
        <v>#REF!</v>
      </c>
      <c r="AR48" t="e">
        <f>AND('Surface Coating'!#REF!,"AAAAAG+/Zis=")</f>
        <v>#REF!</v>
      </c>
      <c r="AS48" t="e">
        <f>AND('Surface Coating'!#REF!,"AAAAAG+/Ziw=")</f>
        <v>#REF!</v>
      </c>
      <c r="AT48" t="e">
        <f>AND('Surface Coating'!#REF!,"AAAAAG+/Zi0=")</f>
        <v>#REF!</v>
      </c>
      <c r="AU48" t="e">
        <f>AND('Surface Coating'!#REF!,"AAAAAG+/Zi4=")</f>
        <v>#REF!</v>
      </c>
      <c r="AV48" t="e">
        <f>AND('Surface Coating'!#REF!,"AAAAAG+/Zi8=")</f>
        <v>#REF!</v>
      </c>
      <c r="AW48" t="e">
        <f>AND('Surface Coating'!#REF!,"AAAAAG+/ZjA=")</f>
        <v>#REF!</v>
      </c>
      <c r="AX48" t="e">
        <f>AND('Surface Coating'!#REF!,"AAAAAG+/ZjE=")</f>
        <v>#REF!</v>
      </c>
      <c r="AY48" t="e">
        <f>AND('Surface Coating'!#REF!,"AAAAAG+/ZjI=")</f>
        <v>#REF!</v>
      </c>
      <c r="AZ48" t="e">
        <f>AND('Surface Coating'!#REF!,"AAAAAG+/ZjM=")</f>
        <v>#REF!</v>
      </c>
      <c r="BA48" t="e">
        <f>AND('Surface Coating'!#REF!,"AAAAAG+/ZjQ=")</f>
        <v>#REF!</v>
      </c>
      <c r="BB48" t="e">
        <f>AND('Surface Coating'!#REF!,"AAAAAG+/ZjU=")</f>
        <v>#REF!</v>
      </c>
      <c r="BC48" t="e">
        <f>AND('Surface Coating'!#REF!,"AAAAAG+/ZjY=")</f>
        <v>#REF!</v>
      </c>
      <c r="BD48" t="e">
        <f>AND('Surface Coating'!#REF!,"AAAAAG+/Zjc=")</f>
        <v>#REF!</v>
      </c>
      <c r="BE48" t="e">
        <f>AND('Surface Coating'!#REF!,"AAAAAG+/Zjg=")</f>
        <v>#REF!</v>
      </c>
      <c r="BF48" t="e">
        <f>AND('Surface Coating'!#REF!,"AAAAAG+/Zjk=")</f>
        <v>#REF!</v>
      </c>
      <c r="BG48" t="e">
        <f>AND('Surface Coating'!#REF!,"AAAAAG+/Zjo=")</f>
        <v>#REF!</v>
      </c>
      <c r="BH48" t="e">
        <f>AND('Surface Coating'!#REF!,"AAAAAG+/Zjs=")</f>
        <v>#REF!</v>
      </c>
      <c r="BI48" t="e">
        <f>AND('Surface Coating'!#REF!,"AAAAAG+/Zjw=")</f>
        <v>#REF!</v>
      </c>
      <c r="BJ48" t="e">
        <f>IF('Surface Coating'!#REF!,"AAAAAG+/Zj0=",0)</f>
        <v>#REF!</v>
      </c>
      <c r="BK48" t="e">
        <f>AND('Surface Coating'!#REF!,"AAAAAG+/Zj4=")</f>
        <v>#REF!</v>
      </c>
      <c r="BL48" t="e">
        <f>AND('Surface Coating'!#REF!,"AAAAAG+/Zj8=")</f>
        <v>#REF!</v>
      </c>
      <c r="BM48" t="e">
        <f>AND('Surface Coating'!#REF!,"AAAAAG+/ZkA=")</f>
        <v>#REF!</v>
      </c>
      <c r="BN48" t="e">
        <f>AND('Surface Coating'!#REF!,"AAAAAG+/ZkE=")</f>
        <v>#REF!</v>
      </c>
      <c r="BO48" t="e">
        <f>AND('Surface Coating'!#REF!,"AAAAAG+/ZkI=")</f>
        <v>#REF!</v>
      </c>
      <c r="BP48" t="e">
        <f>AND('Surface Coating'!#REF!,"AAAAAG+/ZkM=")</f>
        <v>#REF!</v>
      </c>
      <c r="BQ48" t="e">
        <f>AND('Surface Coating'!#REF!,"AAAAAG+/ZkQ=")</f>
        <v>#REF!</v>
      </c>
      <c r="BR48" t="e">
        <f>AND('Surface Coating'!#REF!,"AAAAAG+/ZkU=")</f>
        <v>#REF!</v>
      </c>
      <c r="BS48" t="e">
        <f>AND('Surface Coating'!#REF!,"AAAAAG+/ZkY=")</f>
        <v>#REF!</v>
      </c>
      <c r="BT48" t="e">
        <f>AND('Surface Coating'!#REF!,"AAAAAG+/Zkc=")</f>
        <v>#REF!</v>
      </c>
      <c r="BU48" t="e">
        <f>AND('Surface Coating'!#REF!,"AAAAAG+/Zkg=")</f>
        <v>#REF!</v>
      </c>
      <c r="BV48" t="e">
        <f>AND('Surface Coating'!#REF!,"AAAAAG+/Zkk=")</f>
        <v>#REF!</v>
      </c>
      <c r="BW48" t="e">
        <f>AND('Surface Coating'!#REF!,"AAAAAG+/Zko=")</f>
        <v>#REF!</v>
      </c>
      <c r="BX48" t="e">
        <f>AND('Surface Coating'!#REF!,"AAAAAG+/Zks=")</f>
        <v>#REF!</v>
      </c>
      <c r="BY48" t="e">
        <f>AND('Surface Coating'!#REF!,"AAAAAG+/Zkw=")</f>
        <v>#REF!</v>
      </c>
      <c r="BZ48" t="e">
        <f>AND('Surface Coating'!#REF!,"AAAAAG+/Zk0=")</f>
        <v>#REF!</v>
      </c>
      <c r="CA48" t="e">
        <f>AND('Surface Coating'!#REF!,"AAAAAG+/Zk4=")</f>
        <v>#REF!</v>
      </c>
      <c r="CB48" t="e">
        <f>AND('Surface Coating'!#REF!,"AAAAAG+/Zk8=")</f>
        <v>#REF!</v>
      </c>
      <c r="CC48" t="e">
        <f>AND('Surface Coating'!#REF!,"AAAAAG+/ZlA=")</f>
        <v>#REF!</v>
      </c>
      <c r="CD48" t="e">
        <f>AND('Surface Coating'!#REF!,"AAAAAG+/ZlE=")</f>
        <v>#REF!</v>
      </c>
      <c r="CE48" t="e">
        <f>AND('Surface Coating'!#REF!,"AAAAAG+/ZlI=")</f>
        <v>#REF!</v>
      </c>
      <c r="CF48" t="e">
        <f>AND('Surface Coating'!#REF!,"AAAAAG+/ZlM=")</f>
        <v>#REF!</v>
      </c>
      <c r="CG48" t="e">
        <f>AND('Surface Coating'!#REF!,"AAAAAG+/ZlQ=")</f>
        <v>#REF!</v>
      </c>
      <c r="CH48" t="e">
        <f>AND('Surface Coating'!#REF!,"AAAAAG+/ZlU=")</f>
        <v>#REF!</v>
      </c>
      <c r="CI48" t="e">
        <f>AND('Surface Coating'!#REF!,"AAAAAG+/ZlY=")</f>
        <v>#REF!</v>
      </c>
      <c r="CJ48" t="e">
        <f>IF('Surface Coating'!#REF!,"AAAAAG+/Zlc=",0)</f>
        <v>#REF!</v>
      </c>
      <c r="CK48" t="e">
        <f>AND('Surface Coating'!#REF!,"AAAAAG+/Zlg=")</f>
        <v>#REF!</v>
      </c>
      <c r="CL48" t="e">
        <f>AND('Surface Coating'!#REF!,"AAAAAG+/Zlk=")</f>
        <v>#REF!</v>
      </c>
      <c r="CM48" t="e">
        <f>AND('Surface Coating'!#REF!,"AAAAAG+/Zlo=")</f>
        <v>#REF!</v>
      </c>
      <c r="CN48" t="e">
        <f>AND('Surface Coating'!#REF!,"AAAAAG+/Zls=")</f>
        <v>#REF!</v>
      </c>
      <c r="CO48" t="e">
        <f>AND('Surface Coating'!#REF!,"AAAAAG+/Zlw=")</f>
        <v>#REF!</v>
      </c>
      <c r="CP48" t="e">
        <f>AND('Surface Coating'!#REF!,"AAAAAG+/Zl0=")</f>
        <v>#REF!</v>
      </c>
      <c r="CQ48" t="e">
        <f>AND('Surface Coating'!#REF!,"AAAAAG+/Zl4=")</f>
        <v>#REF!</v>
      </c>
      <c r="CR48" t="e">
        <f>AND('Surface Coating'!#REF!,"AAAAAG+/Zl8=")</f>
        <v>#REF!</v>
      </c>
      <c r="CS48" t="e">
        <f>AND('Surface Coating'!#REF!,"AAAAAG+/ZmA=")</f>
        <v>#REF!</v>
      </c>
      <c r="CT48" t="e">
        <f>AND('Surface Coating'!#REF!,"AAAAAG+/ZmE=")</f>
        <v>#REF!</v>
      </c>
      <c r="CU48" t="e">
        <f>AND('Surface Coating'!#REF!,"AAAAAG+/ZmI=")</f>
        <v>#REF!</v>
      </c>
      <c r="CV48" t="e">
        <f>AND('Surface Coating'!#REF!,"AAAAAG+/ZmM=")</f>
        <v>#REF!</v>
      </c>
      <c r="CW48" t="e">
        <f>AND('Surface Coating'!#REF!,"AAAAAG+/ZmQ=")</f>
        <v>#REF!</v>
      </c>
      <c r="CX48" t="e">
        <f>AND('Surface Coating'!#REF!,"AAAAAG+/ZmU=")</f>
        <v>#REF!</v>
      </c>
      <c r="CY48" t="e">
        <f>AND('Surface Coating'!#REF!,"AAAAAG+/ZmY=")</f>
        <v>#REF!</v>
      </c>
      <c r="CZ48" t="e">
        <f>AND('Surface Coating'!#REF!,"AAAAAG+/Zmc=")</f>
        <v>#REF!</v>
      </c>
      <c r="DA48" t="e">
        <f>AND('Surface Coating'!#REF!,"AAAAAG+/Zmg=")</f>
        <v>#REF!</v>
      </c>
      <c r="DB48" t="e">
        <f>AND('Surface Coating'!#REF!,"AAAAAG+/Zmk=")</f>
        <v>#REF!</v>
      </c>
      <c r="DC48" t="e">
        <f>AND('Surface Coating'!#REF!,"AAAAAG+/Zmo=")</f>
        <v>#REF!</v>
      </c>
      <c r="DD48" t="e">
        <f>AND('Surface Coating'!#REF!,"AAAAAG+/Zms=")</f>
        <v>#REF!</v>
      </c>
      <c r="DE48" t="e">
        <f>AND('Surface Coating'!#REF!,"AAAAAG+/Zmw=")</f>
        <v>#REF!</v>
      </c>
      <c r="DF48" t="e">
        <f>AND('Surface Coating'!#REF!,"AAAAAG+/Zm0=")</f>
        <v>#REF!</v>
      </c>
      <c r="DG48" t="e">
        <f>AND('Surface Coating'!#REF!,"AAAAAG+/Zm4=")</f>
        <v>#REF!</v>
      </c>
      <c r="DH48" t="e">
        <f>AND('Surface Coating'!#REF!,"AAAAAG+/Zm8=")</f>
        <v>#REF!</v>
      </c>
      <c r="DI48" t="e">
        <f>AND('Surface Coating'!#REF!,"AAAAAG+/ZnA=")</f>
        <v>#REF!</v>
      </c>
      <c r="DJ48" t="e">
        <f>IF('Surface Coating'!#REF!,"AAAAAG+/ZnE=",0)</f>
        <v>#REF!</v>
      </c>
      <c r="DK48" t="e">
        <f>AND('Surface Coating'!#REF!,"AAAAAG+/ZnI=")</f>
        <v>#REF!</v>
      </c>
      <c r="DL48" t="e">
        <f>AND('Surface Coating'!#REF!,"AAAAAG+/ZnM=")</f>
        <v>#REF!</v>
      </c>
      <c r="DM48" t="e">
        <f>AND('Surface Coating'!#REF!,"AAAAAG+/ZnQ=")</f>
        <v>#REF!</v>
      </c>
      <c r="DN48" t="e">
        <f>AND('Surface Coating'!#REF!,"AAAAAG+/ZnU=")</f>
        <v>#REF!</v>
      </c>
      <c r="DO48" t="e">
        <f>AND('Surface Coating'!#REF!,"AAAAAG+/ZnY=")</f>
        <v>#REF!</v>
      </c>
      <c r="DP48" t="e">
        <f>AND('Surface Coating'!#REF!,"AAAAAG+/Znc=")</f>
        <v>#REF!</v>
      </c>
      <c r="DQ48" t="e">
        <f>AND('Surface Coating'!#REF!,"AAAAAG+/Zng=")</f>
        <v>#REF!</v>
      </c>
      <c r="DR48" t="e">
        <f>AND('Surface Coating'!#REF!,"AAAAAG+/Znk=")</f>
        <v>#REF!</v>
      </c>
      <c r="DS48" t="e">
        <f>AND('Surface Coating'!#REF!,"AAAAAG+/Zno=")</f>
        <v>#REF!</v>
      </c>
      <c r="DT48" t="e">
        <f>AND('Surface Coating'!#REF!,"AAAAAG+/Zns=")</f>
        <v>#REF!</v>
      </c>
      <c r="DU48" t="e">
        <f>AND('Surface Coating'!#REF!,"AAAAAG+/Znw=")</f>
        <v>#REF!</v>
      </c>
      <c r="DV48" t="e">
        <f>AND('Surface Coating'!#REF!,"AAAAAG+/Zn0=")</f>
        <v>#REF!</v>
      </c>
      <c r="DW48" t="e">
        <f>AND('Surface Coating'!#REF!,"AAAAAG+/Zn4=")</f>
        <v>#REF!</v>
      </c>
      <c r="DX48" t="e">
        <f>AND('Surface Coating'!#REF!,"AAAAAG+/Zn8=")</f>
        <v>#REF!</v>
      </c>
      <c r="DY48" t="e">
        <f>AND('Surface Coating'!#REF!,"AAAAAG+/ZoA=")</f>
        <v>#REF!</v>
      </c>
      <c r="DZ48" t="e">
        <f>AND('Surface Coating'!#REF!,"AAAAAG+/ZoE=")</f>
        <v>#REF!</v>
      </c>
      <c r="EA48" t="e">
        <f>AND('Surface Coating'!#REF!,"AAAAAG+/ZoI=")</f>
        <v>#REF!</v>
      </c>
      <c r="EB48" t="e">
        <f>AND('Surface Coating'!#REF!,"AAAAAG+/ZoM=")</f>
        <v>#REF!</v>
      </c>
      <c r="EC48" t="e">
        <f>AND('Surface Coating'!#REF!,"AAAAAG+/ZoQ=")</f>
        <v>#REF!</v>
      </c>
      <c r="ED48" t="e">
        <f>AND('Surface Coating'!#REF!,"AAAAAG+/ZoU=")</f>
        <v>#REF!</v>
      </c>
      <c r="EE48" t="e">
        <f>AND('Surface Coating'!#REF!,"AAAAAG+/ZoY=")</f>
        <v>#REF!</v>
      </c>
      <c r="EF48" t="e">
        <f>AND('Surface Coating'!#REF!,"AAAAAG+/Zoc=")</f>
        <v>#REF!</v>
      </c>
      <c r="EG48" t="e">
        <f>AND('Surface Coating'!#REF!,"AAAAAG+/Zog=")</f>
        <v>#REF!</v>
      </c>
      <c r="EH48" t="e">
        <f>AND('Surface Coating'!#REF!,"AAAAAG+/Zok=")</f>
        <v>#REF!</v>
      </c>
      <c r="EI48" t="e">
        <f>AND('Surface Coating'!#REF!,"AAAAAG+/Zoo=")</f>
        <v>#REF!</v>
      </c>
      <c r="EJ48" t="e">
        <f>IF('Surface Coating'!#REF!,"AAAAAG+/Zos=",0)</f>
        <v>#REF!</v>
      </c>
      <c r="EK48" t="e">
        <f>AND('Surface Coating'!#REF!,"AAAAAG+/Zow=")</f>
        <v>#REF!</v>
      </c>
      <c r="EL48" t="e">
        <f>AND('Surface Coating'!#REF!,"AAAAAG+/Zo0=")</f>
        <v>#REF!</v>
      </c>
      <c r="EM48" t="e">
        <f>AND('Surface Coating'!#REF!,"AAAAAG+/Zo4=")</f>
        <v>#REF!</v>
      </c>
      <c r="EN48" t="e">
        <f>AND('Surface Coating'!#REF!,"AAAAAG+/Zo8=")</f>
        <v>#REF!</v>
      </c>
      <c r="EO48" t="e">
        <f>AND('Surface Coating'!#REF!,"AAAAAG+/ZpA=")</f>
        <v>#REF!</v>
      </c>
      <c r="EP48" t="e">
        <f>AND('Surface Coating'!#REF!,"AAAAAG+/ZpE=")</f>
        <v>#REF!</v>
      </c>
      <c r="EQ48" t="e">
        <f>AND('Surface Coating'!#REF!,"AAAAAG+/ZpI=")</f>
        <v>#REF!</v>
      </c>
      <c r="ER48" t="e">
        <f>AND('Surface Coating'!#REF!,"AAAAAG+/ZpM=")</f>
        <v>#REF!</v>
      </c>
      <c r="ES48" t="e">
        <f>AND('Surface Coating'!#REF!,"AAAAAG+/ZpQ=")</f>
        <v>#REF!</v>
      </c>
      <c r="ET48" t="e">
        <f>AND('Surface Coating'!#REF!,"AAAAAG+/ZpU=")</f>
        <v>#REF!</v>
      </c>
      <c r="EU48" t="e">
        <f>AND('Surface Coating'!#REF!,"AAAAAG+/ZpY=")</f>
        <v>#REF!</v>
      </c>
      <c r="EV48" t="e">
        <f>AND('Surface Coating'!#REF!,"AAAAAG+/Zpc=")</f>
        <v>#REF!</v>
      </c>
      <c r="EW48" t="e">
        <f>AND('Surface Coating'!#REF!,"AAAAAG+/Zpg=")</f>
        <v>#REF!</v>
      </c>
      <c r="EX48" t="e">
        <f>AND('Surface Coating'!#REF!,"AAAAAG+/Zpk=")</f>
        <v>#REF!</v>
      </c>
      <c r="EY48" t="e">
        <f>AND('Surface Coating'!#REF!,"AAAAAG+/Zpo=")</f>
        <v>#REF!</v>
      </c>
      <c r="EZ48" t="e">
        <f>AND('Surface Coating'!#REF!,"AAAAAG+/Zps=")</f>
        <v>#REF!</v>
      </c>
      <c r="FA48" t="e">
        <f>AND('Surface Coating'!#REF!,"AAAAAG+/Zpw=")</f>
        <v>#REF!</v>
      </c>
      <c r="FB48" t="e">
        <f>AND('Surface Coating'!#REF!,"AAAAAG+/Zp0=")</f>
        <v>#REF!</v>
      </c>
      <c r="FC48" t="e">
        <f>AND('Surface Coating'!#REF!,"AAAAAG+/Zp4=")</f>
        <v>#REF!</v>
      </c>
      <c r="FD48" t="e">
        <f>AND('Surface Coating'!#REF!,"AAAAAG+/Zp8=")</f>
        <v>#REF!</v>
      </c>
      <c r="FE48" t="e">
        <f>AND('Surface Coating'!#REF!,"AAAAAG+/ZqA=")</f>
        <v>#REF!</v>
      </c>
      <c r="FF48" t="e">
        <f>AND('Surface Coating'!#REF!,"AAAAAG+/ZqE=")</f>
        <v>#REF!</v>
      </c>
      <c r="FG48" t="e">
        <f>AND('Surface Coating'!#REF!,"AAAAAG+/ZqI=")</f>
        <v>#REF!</v>
      </c>
      <c r="FH48" t="e">
        <f>AND('Surface Coating'!#REF!,"AAAAAG+/ZqM=")</f>
        <v>#REF!</v>
      </c>
      <c r="FI48" t="e">
        <f>AND('Surface Coating'!#REF!,"AAAAAG+/ZqQ=")</f>
        <v>#REF!</v>
      </c>
      <c r="FJ48" t="e">
        <f>IF('Surface Coating'!#REF!,"AAAAAG+/ZqU=",0)</f>
        <v>#REF!</v>
      </c>
      <c r="FK48" t="e">
        <f>AND('Surface Coating'!#REF!,"AAAAAG+/ZqY=")</f>
        <v>#REF!</v>
      </c>
      <c r="FL48" t="e">
        <f>AND('Surface Coating'!#REF!,"AAAAAG+/Zqc=")</f>
        <v>#REF!</v>
      </c>
      <c r="FM48" t="e">
        <f>AND('Surface Coating'!#REF!,"AAAAAG+/Zqg=")</f>
        <v>#REF!</v>
      </c>
      <c r="FN48" t="e">
        <f>AND('Surface Coating'!#REF!,"AAAAAG+/Zqk=")</f>
        <v>#REF!</v>
      </c>
      <c r="FO48" t="e">
        <f>AND('Surface Coating'!#REF!,"AAAAAG+/Zqo=")</f>
        <v>#REF!</v>
      </c>
      <c r="FP48" t="e">
        <f>AND('Surface Coating'!#REF!,"AAAAAG+/Zqs=")</f>
        <v>#REF!</v>
      </c>
      <c r="FQ48" t="e">
        <f>AND('Surface Coating'!#REF!,"AAAAAG+/Zqw=")</f>
        <v>#REF!</v>
      </c>
      <c r="FR48" t="e">
        <f>AND('Surface Coating'!#REF!,"AAAAAG+/Zq0=")</f>
        <v>#REF!</v>
      </c>
      <c r="FS48" t="e">
        <f>AND('Surface Coating'!#REF!,"AAAAAG+/Zq4=")</f>
        <v>#REF!</v>
      </c>
      <c r="FT48" t="e">
        <f>AND('Surface Coating'!#REF!,"AAAAAG+/Zq8=")</f>
        <v>#REF!</v>
      </c>
      <c r="FU48" t="e">
        <f>AND('Surface Coating'!#REF!,"AAAAAG+/ZrA=")</f>
        <v>#REF!</v>
      </c>
      <c r="FV48" t="e">
        <f>AND('Surface Coating'!#REF!,"AAAAAG+/ZrE=")</f>
        <v>#REF!</v>
      </c>
      <c r="FW48" t="e">
        <f>AND('Surface Coating'!#REF!,"AAAAAG+/ZrI=")</f>
        <v>#REF!</v>
      </c>
      <c r="FX48" t="e">
        <f>AND('Surface Coating'!#REF!,"AAAAAG+/ZrM=")</f>
        <v>#REF!</v>
      </c>
      <c r="FY48" t="e">
        <f>AND('Surface Coating'!#REF!,"AAAAAG+/ZrQ=")</f>
        <v>#REF!</v>
      </c>
      <c r="FZ48" t="e">
        <f>AND('Surface Coating'!#REF!,"AAAAAG+/ZrU=")</f>
        <v>#REF!</v>
      </c>
      <c r="GA48" t="e">
        <f>AND('Surface Coating'!#REF!,"AAAAAG+/ZrY=")</f>
        <v>#REF!</v>
      </c>
      <c r="GB48" t="e">
        <f>AND('Surface Coating'!#REF!,"AAAAAG+/Zrc=")</f>
        <v>#REF!</v>
      </c>
      <c r="GC48" t="e">
        <f>AND('Surface Coating'!#REF!,"AAAAAG+/Zrg=")</f>
        <v>#REF!</v>
      </c>
      <c r="GD48" t="e">
        <f>AND('Surface Coating'!#REF!,"AAAAAG+/Zrk=")</f>
        <v>#REF!</v>
      </c>
      <c r="GE48" t="e">
        <f>AND('Surface Coating'!#REF!,"AAAAAG+/Zro=")</f>
        <v>#REF!</v>
      </c>
      <c r="GF48" t="e">
        <f>AND('Surface Coating'!#REF!,"AAAAAG+/Zrs=")</f>
        <v>#REF!</v>
      </c>
      <c r="GG48" t="e">
        <f>AND('Surface Coating'!#REF!,"AAAAAG+/Zrw=")</f>
        <v>#REF!</v>
      </c>
      <c r="GH48" t="e">
        <f>AND('Surface Coating'!#REF!,"AAAAAG+/Zr0=")</f>
        <v>#REF!</v>
      </c>
      <c r="GI48" t="e">
        <f>AND('Surface Coating'!#REF!,"AAAAAG+/Zr4=")</f>
        <v>#REF!</v>
      </c>
      <c r="GJ48" t="e">
        <f>IF('Surface Coating'!#REF!,"AAAAAG+/Zr8=",0)</f>
        <v>#REF!</v>
      </c>
      <c r="GK48" t="e">
        <f>AND('Surface Coating'!#REF!,"AAAAAG+/ZsA=")</f>
        <v>#REF!</v>
      </c>
      <c r="GL48" t="e">
        <f>AND('Surface Coating'!#REF!,"AAAAAG+/ZsE=")</f>
        <v>#REF!</v>
      </c>
      <c r="GM48" t="e">
        <f>AND('Surface Coating'!#REF!,"AAAAAG+/ZsI=")</f>
        <v>#REF!</v>
      </c>
      <c r="GN48" t="e">
        <f>AND('Surface Coating'!#REF!,"AAAAAG+/ZsM=")</f>
        <v>#REF!</v>
      </c>
      <c r="GO48" t="e">
        <f>AND('Surface Coating'!#REF!,"AAAAAG+/ZsQ=")</f>
        <v>#REF!</v>
      </c>
      <c r="GP48" t="e">
        <f>AND('Surface Coating'!#REF!,"AAAAAG+/ZsU=")</f>
        <v>#REF!</v>
      </c>
      <c r="GQ48" t="e">
        <f>AND('Surface Coating'!#REF!,"AAAAAG+/ZsY=")</f>
        <v>#REF!</v>
      </c>
      <c r="GR48" t="e">
        <f>AND('Surface Coating'!#REF!,"AAAAAG+/Zsc=")</f>
        <v>#REF!</v>
      </c>
      <c r="GS48" t="e">
        <f>AND('Surface Coating'!#REF!,"AAAAAG+/Zsg=")</f>
        <v>#REF!</v>
      </c>
      <c r="GT48" t="e">
        <f>AND('Surface Coating'!#REF!,"AAAAAG+/Zsk=")</f>
        <v>#REF!</v>
      </c>
      <c r="GU48" t="e">
        <f>AND('Surface Coating'!#REF!,"AAAAAG+/Zso=")</f>
        <v>#REF!</v>
      </c>
      <c r="GV48" t="e">
        <f>AND('Surface Coating'!#REF!,"AAAAAG+/Zss=")</f>
        <v>#REF!</v>
      </c>
      <c r="GW48" t="e">
        <f>AND('Surface Coating'!#REF!,"AAAAAG+/Zsw=")</f>
        <v>#REF!</v>
      </c>
      <c r="GX48" t="e">
        <f>AND('Surface Coating'!#REF!,"AAAAAG+/Zs0=")</f>
        <v>#REF!</v>
      </c>
      <c r="GY48" t="e">
        <f>AND('Surface Coating'!#REF!,"AAAAAG+/Zs4=")</f>
        <v>#REF!</v>
      </c>
      <c r="GZ48" t="e">
        <f>AND('Surface Coating'!#REF!,"AAAAAG+/Zs8=")</f>
        <v>#REF!</v>
      </c>
      <c r="HA48" t="e">
        <f>AND('Surface Coating'!#REF!,"AAAAAG+/ZtA=")</f>
        <v>#REF!</v>
      </c>
      <c r="HB48" t="e">
        <f>AND('Surface Coating'!#REF!,"AAAAAG+/ZtE=")</f>
        <v>#REF!</v>
      </c>
      <c r="HC48" t="e">
        <f>AND('Surface Coating'!#REF!,"AAAAAG+/ZtI=")</f>
        <v>#REF!</v>
      </c>
      <c r="HD48" t="e">
        <f>AND('Surface Coating'!#REF!,"AAAAAG+/ZtM=")</f>
        <v>#REF!</v>
      </c>
      <c r="HE48" t="e">
        <f>AND('Surface Coating'!#REF!,"AAAAAG+/ZtQ=")</f>
        <v>#REF!</v>
      </c>
      <c r="HF48" t="e">
        <f>AND('Surface Coating'!#REF!,"AAAAAG+/ZtU=")</f>
        <v>#REF!</v>
      </c>
      <c r="HG48" t="e">
        <f>AND('Surface Coating'!#REF!,"AAAAAG+/ZtY=")</f>
        <v>#REF!</v>
      </c>
      <c r="HH48" t="e">
        <f>AND('Surface Coating'!#REF!,"AAAAAG+/Ztc=")</f>
        <v>#REF!</v>
      </c>
      <c r="HI48" t="e">
        <f>AND('Surface Coating'!#REF!,"AAAAAG+/Ztg=")</f>
        <v>#REF!</v>
      </c>
      <c r="HJ48" t="e">
        <f>IF('Surface Coating'!#REF!,"AAAAAG+/Ztk=",0)</f>
        <v>#REF!</v>
      </c>
      <c r="HK48" t="e">
        <f>AND('Surface Coating'!#REF!,"AAAAAG+/Zto=")</f>
        <v>#REF!</v>
      </c>
      <c r="HL48" t="e">
        <f>AND('Surface Coating'!#REF!,"AAAAAG+/Zts=")</f>
        <v>#REF!</v>
      </c>
      <c r="HM48" t="e">
        <f>AND('Surface Coating'!#REF!,"AAAAAG+/Ztw=")</f>
        <v>#REF!</v>
      </c>
      <c r="HN48" t="e">
        <f>AND('Surface Coating'!#REF!,"AAAAAG+/Zt0=")</f>
        <v>#REF!</v>
      </c>
      <c r="HO48" t="e">
        <f>AND('Surface Coating'!#REF!,"AAAAAG+/Zt4=")</f>
        <v>#REF!</v>
      </c>
      <c r="HP48" t="e">
        <f>AND('Surface Coating'!#REF!,"AAAAAG+/Zt8=")</f>
        <v>#REF!</v>
      </c>
      <c r="HQ48" t="e">
        <f>AND('Surface Coating'!#REF!,"AAAAAG+/ZuA=")</f>
        <v>#REF!</v>
      </c>
      <c r="HR48" t="e">
        <f>AND('Surface Coating'!#REF!,"AAAAAG+/ZuE=")</f>
        <v>#REF!</v>
      </c>
      <c r="HS48" t="e">
        <f>AND('Surface Coating'!#REF!,"AAAAAG+/ZuI=")</f>
        <v>#REF!</v>
      </c>
      <c r="HT48" t="e">
        <f>AND('Surface Coating'!#REF!,"AAAAAG+/ZuM=")</f>
        <v>#REF!</v>
      </c>
      <c r="HU48" t="e">
        <f>AND('Surface Coating'!#REF!,"AAAAAG+/ZuQ=")</f>
        <v>#REF!</v>
      </c>
      <c r="HV48" t="e">
        <f>AND('Surface Coating'!#REF!,"AAAAAG+/ZuU=")</f>
        <v>#REF!</v>
      </c>
      <c r="HW48" t="e">
        <f>AND('Surface Coating'!#REF!,"AAAAAG+/ZuY=")</f>
        <v>#REF!</v>
      </c>
      <c r="HX48" t="e">
        <f>AND('Surface Coating'!#REF!,"AAAAAG+/Zuc=")</f>
        <v>#REF!</v>
      </c>
      <c r="HY48" t="e">
        <f>AND('Surface Coating'!#REF!,"AAAAAG+/Zug=")</f>
        <v>#REF!</v>
      </c>
      <c r="HZ48" t="e">
        <f>AND('Surface Coating'!#REF!,"AAAAAG+/Zuk=")</f>
        <v>#REF!</v>
      </c>
      <c r="IA48" t="e">
        <f>AND('Surface Coating'!#REF!,"AAAAAG+/Zuo=")</f>
        <v>#REF!</v>
      </c>
      <c r="IB48" t="e">
        <f>AND('Surface Coating'!#REF!,"AAAAAG+/Zus=")</f>
        <v>#REF!</v>
      </c>
      <c r="IC48" t="e">
        <f>AND('Surface Coating'!#REF!,"AAAAAG+/Zuw=")</f>
        <v>#REF!</v>
      </c>
      <c r="ID48" t="e">
        <f>AND('Surface Coating'!#REF!,"AAAAAG+/Zu0=")</f>
        <v>#REF!</v>
      </c>
      <c r="IE48" t="e">
        <f>AND('Surface Coating'!#REF!,"AAAAAG+/Zu4=")</f>
        <v>#REF!</v>
      </c>
      <c r="IF48" t="e">
        <f>AND('Surface Coating'!#REF!,"AAAAAG+/Zu8=")</f>
        <v>#REF!</v>
      </c>
      <c r="IG48" t="e">
        <f>AND('Surface Coating'!#REF!,"AAAAAG+/ZvA=")</f>
        <v>#REF!</v>
      </c>
      <c r="IH48" t="e">
        <f>AND('Surface Coating'!#REF!,"AAAAAG+/ZvE=")</f>
        <v>#REF!</v>
      </c>
      <c r="II48" t="e">
        <f>AND('Surface Coating'!#REF!,"AAAAAG+/ZvI=")</f>
        <v>#REF!</v>
      </c>
      <c r="IJ48" t="e">
        <f>IF('Surface Coating'!#REF!,"AAAAAG+/ZvM=",0)</f>
        <v>#REF!</v>
      </c>
      <c r="IK48" t="e">
        <f>AND('Surface Coating'!#REF!,"AAAAAG+/ZvQ=")</f>
        <v>#REF!</v>
      </c>
      <c r="IL48" t="e">
        <f>AND('Surface Coating'!#REF!,"AAAAAG+/ZvU=")</f>
        <v>#REF!</v>
      </c>
      <c r="IM48" t="e">
        <f>AND('Surface Coating'!#REF!,"AAAAAG+/ZvY=")</f>
        <v>#REF!</v>
      </c>
      <c r="IN48" t="e">
        <f>AND('Surface Coating'!#REF!,"AAAAAG+/Zvc=")</f>
        <v>#REF!</v>
      </c>
      <c r="IO48" t="e">
        <f>AND('Surface Coating'!#REF!,"AAAAAG+/Zvg=")</f>
        <v>#REF!</v>
      </c>
      <c r="IP48" t="e">
        <f>AND('Surface Coating'!#REF!,"AAAAAG+/Zvk=")</f>
        <v>#REF!</v>
      </c>
      <c r="IQ48" t="e">
        <f>AND('Surface Coating'!#REF!,"AAAAAG+/Zvo=")</f>
        <v>#REF!</v>
      </c>
      <c r="IR48" t="e">
        <f>AND('Surface Coating'!#REF!,"AAAAAG+/Zvs=")</f>
        <v>#REF!</v>
      </c>
      <c r="IS48" t="e">
        <f>AND('Surface Coating'!#REF!,"AAAAAG+/Zvw=")</f>
        <v>#REF!</v>
      </c>
      <c r="IT48" t="e">
        <f>AND('Surface Coating'!#REF!,"AAAAAG+/Zv0=")</f>
        <v>#REF!</v>
      </c>
      <c r="IU48" t="e">
        <f>AND('Surface Coating'!#REF!,"AAAAAG+/Zv4=")</f>
        <v>#REF!</v>
      </c>
      <c r="IV48" t="e">
        <f>AND('Surface Coating'!#REF!,"AAAAAG+/Zv8=")</f>
        <v>#REF!</v>
      </c>
    </row>
    <row r="49" spans="1:256">
      <c r="A49" t="e">
        <f>AND('Surface Coating'!#REF!,"AAAAAGX/fgA=")</f>
        <v>#REF!</v>
      </c>
      <c r="B49" t="e">
        <f>AND('Surface Coating'!#REF!,"AAAAAGX/fgE=")</f>
        <v>#REF!</v>
      </c>
      <c r="C49" t="e">
        <f>AND('Surface Coating'!#REF!,"AAAAAGX/fgI=")</f>
        <v>#REF!</v>
      </c>
      <c r="D49" t="e">
        <f>AND('Surface Coating'!#REF!,"AAAAAGX/fgM=")</f>
        <v>#REF!</v>
      </c>
      <c r="E49" t="e">
        <f>AND('Surface Coating'!#REF!,"AAAAAGX/fgQ=")</f>
        <v>#REF!</v>
      </c>
      <c r="F49" t="e">
        <f>AND('Surface Coating'!#REF!,"AAAAAGX/fgU=")</f>
        <v>#REF!</v>
      </c>
      <c r="G49" t="e">
        <f>AND('Surface Coating'!#REF!,"AAAAAGX/fgY=")</f>
        <v>#REF!</v>
      </c>
      <c r="H49" t="e">
        <f>AND('Surface Coating'!#REF!,"AAAAAGX/fgc=")</f>
        <v>#REF!</v>
      </c>
      <c r="I49" t="e">
        <f>AND('Surface Coating'!#REF!,"AAAAAGX/fgg=")</f>
        <v>#REF!</v>
      </c>
      <c r="J49" t="e">
        <f>AND('Surface Coating'!#REF!,"AAAAAGX/fgk=")</f>
        <v>#REF!</v>
      </c>
      <c r="K49" t="e">
        <f>AND('Surface Coating'!#REF!,"AAAAAGX/fgo=")</f>
        <v>#REF!</v>
      </c>
      <c r="L49" t="e">
        <f>AND('Surface Coating'!#REF!,"AAAAAGX/fgs=")</f>
        <v>#REF!</v>
      </c>
      <c r="M49" t="e">
        <f>AND('Surface Coating'!#REF!,"AAAAAGX/fgw=")</f>
        <v>#REF!</v>
      </c>
      <c r="N49" t="e">
        <f>IF('Surface Coating'!#REF!,"AAAAAGX/fg0=",0)</f>
        <v>#REF!</v>
      </c>
      <c r="O49" t="e">
        <f>AND('Surface Coating'!#REF!,"AAAAAGX/fg4=")</f>
        <v>#REF!</v>
      </c>
      <c r="P49" t="e">
        <f>AND('Surface Coating'!#REF!,"AAAAAGX/fg8=")</f>
        <v>#REF!</v>
      </c>
      <c r="Q49" t="e">
        <f>AND('Surface Coating'!#REF!,"AAAAAGX/fhA=")</f>
        <v>#REF!</v>
      </c>
      <c r="R49" t="e">
        <f>AND('Surface Coating'!#REF!,"AAAAAGX/fhE=")</f>
        <v>#REF!</v>
      </c>
      <c r="S49" t="e">
        <f>AND('Surface Coating'!#REF!,"AAAAAGX/fhI=")</f>
        <v>#REF!</v>
      </c>
      <c r="T49" t="e">
        <f>AND('Surface Coating'!#REF!,"AAAAAGX/fhM=")</f>
        <v>#REF!</v>
      </c>
      <c r="U49" t="e">
        <f>AND('Surface Coating'!#REF!,"AAAAAGX/fhQ=")</f>
        <v>#REF!</v>
      </c>
      <c r="V49" t="e">
        <f>AND('Surface Coating'!#REF!,"AAAAAGX/fhU=")</f>
        <v>#REF!</v>
      </c>
      <c r="W49" t="e">
        <f>AND('Surface Coating'!#REF!,"AAAAAGX/fhY=")</f>
        <v>#REF!</v>
      </c>
      <c r="X49" t="e">
        <f>AND('Surface Coating'!#REF!,"AAAAAGX/fhc=")</f>
        <v>#REF!</v>
      </c>
      <c r="Y49" t="e">
        <f>AND('Surface Coating'!#REF!,"AAAAAGX/fhg=")</f>
        <v>#REF!</v>
      </c>
      <c r="Z49" t="e">
        <f>AND('Surface Coating'!#REF!,"AAAAAGX/fhk=")</f>
        <v>#REF!</v>
      </c>
      <c r="AA49" t="e">
        <f>AND('Surface Coating'!#REF!,"AAAAAGX/fho=")</f>
        <v>#REF!</v>
      </c>
      <c r="AB49" t="e">
        <f>AND('Surface Coating'!#REF!,"AAAAAGX/fhs=")</f>
        <v>#REF!</v>
      </c>
      <c r="AC49" t="e">
        <f>AND('Surface Coating'!#REF!,"AAAAAGX/fhw=")</f>
        <v>#REF!</v>
      </c>
      <c r="AD49" t="e">
        <f>AND('Surface Coating'!#REF!,"AAAAAGX/fh0=")</f>
        <v>#REF!</v>
      </c>
      <c r="AE49" t="e">
        <f>AND('Surface Coating'!#REF!,"AAAAAGX/fh4=")</f>
        <v>#REF!</v>
      </c>
      <c r="AF49" t="e">
        <f>AND('Surface Coating'!#REF!,"AAAAAGX/fh8=")</f>
        <v>#REF!</v>
      </c>
      <c r="AG49" t="e">
        <f>AND('Surface Coating'!#REF!,"AAAAAGX/fiA=")</f>
        <v>#REF!</v>
      </c>
      <c r="AH49" t="e">
        <f>AND('Surface Coating'!#REF!,"AAAAAGX/fiE=")</f>
        <v>#REF!</v>
      </c>
      <c r="AI49" t="e">
        <f>AND('Surface Coating'!#REF!,"AAAAAGX/fiI=")</f>
        <v>#REF!</v>
      </c>
      <c r="AJ49" t="e">
        <f>AND('Surface Coating'!#REF!,"AAAAAGX/fiM=")</f>
        <v>#REF!</v>
      </c>
      <c r="AK49" t="e">
        <f>AND('Surface Coating'!#REF!,"AAAAAGX/fiQ=")</f>
        <v>#REF!</v>
      </c>
      <c r="AL49" t="e">
        <f>AND('Surface Coating'!#REF!,"AAAAAGX/fiU=")</f>
        <v>#REF!</v>
      </c>
      <c r="AM49" t="e">
        <f>AND('Surface Coating'!#REF!,"AAAAAGX/fiY=")</f>
        <v>#REF!</v>
      </c>
      <c r="AN49" t="e">
        <f>IF('Surface Coating'!#REF!,"AAAAAGX/fic=",0)</f>
        <v>#REF!</v>
      </c>
      <c r="AO49" t="e">
        <f>AND('Surface Coating'!#REF!,"AAAAAGX/fig=")</f>
        <v>#REF!</v>
      </c>
      <c r="AP49" t="e">
        <f>AND('Surface Coating'!#REF!,"AAAAAGX/fik=")</f>
        <v>#REF!</v>
      </c>
      <c r="AQ49" t="e">
        <f>AND('Surface Coating'!#REF!,"AAAAAGX/fio=")</f>
        <v>#REF!</v>
      </c>
      <c r="AR49" t="e">
        <f>AND('Surface Coating'!#REF!,"AAAAAGX/fis=")</f>
        <v>#REF!</v>
      </c>
      <c r="AS49" t="e">
        <f>AND('Surface Coating'!#REF!,"AAAAAGX/fiw=")</f>
        <v>#REF!</v>
      </c>
      <c r="AT49" t="e">
        <f>AND('Surface Coating'!#REF!,"AAAAAGX/fi0=")</f>
        <v>#REF!</v>
      </c>
      <c r="AU49" t="e">
        <f>AND('Surface Coating'!#REF!,"AAAAAGX/fi4=")</f>
        <v>#REF!</v>
      </c>
      <c r="AV49" t="e">
        <f>AND('Surface Coating'!#REF!,"AAAAAGX/fi8=")</f>
        <v>#REF!</v>
      </c>
      <c r="AW49" t="e">
        <f>AND('Surface Coating'!#REF!,"AAAAAGX/fjA=")</f>
        <v>#REF!</v>
      </c>
      <c r="AX49" t="e">
        <f>AND('Surface Coating'!#REF!,"AAAAAGX/fjE=")</f>
        <v>#REF!</v>
      </c>
      <c r="AY49" t="e">
        <f>AND('Surface Coating'!#REF!,"AAAAAGX/fjI=")</f>
        <v>#REF!</v>
      </c>
      <c r="AZ49" t="e">
        <f>AND('Surface Coating'!#REF!,"AAAAAGX/fjM=")</f>
        <v>#REF!</v>
      </c>
      <c r="BA49" t="e">
        <f>AND('Surface Coating'!#REF!,"AAAAAGX/fjQ=")</f>
        <v>#REF!</v>
      </c>
      <c r="BB49" t="e">
        <f>AND('Surface Coating'!#REF!,"AAAAAGX/fjU=")</f>
        <v>#REF!</v>
      </c>
      <c r="BC49" t="e">
        <f>AND('Surface Coating'!#REF!,"AAAAAGX/fjY=")</f>
        <v>#REF!</v>
      </c>
      <c r="BD49" t="e">
        <f>AND('Surface Coating'!#REF!,"AAAAAGX/fjc=")</f>
        <v>#REF!</v>
      </c>
      <c r="BE49" t="e">
        <f>AND('Surface Coating'!#REF!,"AAAAAGX/fjg=")</f>
        <v>#REF!</v>
      </c>
      <c r="BF49" t="e">
        <f>AND('Surface Coating'!#REF!,"AAAAAGX/fjk=")</f>
        <v>#REF!</v>
      </c>
      <c r="BG49" t="e">
        <f>AND('Surface Coating'!#REF!,"AAAAAGX/fjo=")</f>
        <v>#REF!</v>
      </c>
      <c r="BH49" t="e">
        <f>AND('Surface Coating'!#REF!,"AAAAAGX/fjs=")</f>
        <v>#REF!</v>
      </c>
      <c r="BI49" t="e">
        <f>AND('Surface Coating'!#REF!,"AAAAAGX/fjw=")</f>
        <v>#REF!</v>
      </c>
      <c r="BJ49" t="e">
        <f>AND('Surface Coating'!#REF!,"AAAAAGX/fj0=")</f>
        <v>#REF!</v>
      </c>
      <c r="BK49" t="e">
        <f>AND('Surface Coating'!#REF!,"AAAAAGX/fj4=")</f>
        <v>#REF!</v>
      </c>
      <c r="BL49" t="e">
        <f>AND('Surface Coating'!#REF!,"AAAAAGX/fj8=")</f>
        <v>#REF!</v>
      </c>
      <c r="BM49" t="e">
        <f>AND('Surface Coating'!#REF!,"AAAAAGX/fkA=")</f>
        <v>#REF!</v>
      </c>
      <c r="BN49" t="e">
        <f>IF('Surface Coating'!#REF!,"AAAAAGX/fkE=",0)</f>
        <v>#REF!</v>
      </c>
      <c r="BO49" t="e">
        <f>AND('Surface Coating'!#REF!,"AAAAAGX/fkI=")</f>
        <v>#REF!</v>
      </c>
      <c r="BP49" t="e">
        <f>AND('Surface Coating'!#REF!,"AAAAAGX/fkM=")</f>
        <v>#REF!</v>
      </c>
      <c r="BQ49" t="e">
        <f>AND('Surface Coating'!#REF!,"AAAAAGX/fkQ=")</f>
        <v>#REF!</v>
      </c>
      <c r="BR49" t="e">
        <f>AND('Surface Coating'!#REF!,"AAAAAGX/fkU=")</f>
        <v>#REF!</v>
      </c>
      <c r="BS49" t="e">
        <f>AND('Surface Coating'!#REF!,"AAAAAGX/fkY=")</f>
        <v>#REF!</v>
      </c>
      <c r="BT49" t="e">
        <f>AND('Surface Coating'!#REF!,"AAAAAGX/fkc=")</f>
        <v>#REF!</v>
      </c>
      <c r="BU49" t="e">
        <f>AND('Surface Coating'!#REF!,"AAAAAGX/fkg=")</f>
        <v>#REF!</v>
      </c>
      <c r="BV49" t="e">
        <f>AND('Surface Coating'!#REF!,"AAAAAGX/fkk=")</f>
        <v>#REF!</v>
      </c>
      <c r="BW49" t="e">
        <f>AND('Surface Coating'!#REF!,"AAAAAGX/fko=")</f>
        <v>#REF!</v>
      </c>
      <c r="BX49" t="e">
        <f>AND('Surface Coating'!#REF!,"AAAAAGX/fks=")</f>
        <v>#REF!</v>
      </c>
      <c r="BY49" t="e">
        <f>AND('Surface Coating'!#REF!,"AAAAAGX/fkw=")</f>
        <v>#REF!</v>
      </c>
      <c r="BZ49" t="e">
        <f>AND('Surface Coating'!#REF!,"AAAAAGX/fk0=")</f>
        <v>#REF!</v>
      </c>
      <c r="CA49" t="e">
        <f>AND('Surface Coating'!#REF!,"AAAAAGX/fk4=")</f>
        <v>#REF!</v>
      </c>
      <c r="CB49" t="e">
        <f>AND('Surface Coating'!#REF!,"AAAAAGX/fk8=")</f>
        <v>#REF!</v>
      </c>
      <c r="CC49" t="e">
        <f>AND('Surface Coating'!#REF!,"AAAAAGX/flA=")</f>
        <v>#REF!</v>
      </c>
      <c r="CD49" t="e">
        <f>AND('Surface Coating'!#REF!,"AAAAAGX/flE=")</f>
        <v>#REF!</v>
      </c>
      <c r="CE49" t="e">
        <f>AND('Surface Coating'!#REF!,"AAAAAGX/flI=")</f>
        <v>#REF!</v>
      </c>
      <c r="CF49" t="e">
        <f>AND('Surface Coating'!#REF!,"AAAAAGX/flM=")</f>
        <v>#REF!</v>
      </c>
      <c r="CG49" t="e">
        <f>AND('Surface Coating'!#REF!,"AAAAAGX/flQ=")</f>
        <v>#REF!</v>
      </c>
      <c r="CH49" t="e">
        <f>AND('Surface Coating'!#REF!,"AAAAAGX/flU=")</f>
        <v>#REF!</v>
      </c>
      <c r="CI49" t="e">
        <f>AND('Surface Coating'!#REF!,"AAAAAGX/flY=")</f>
        <v>#REF!</v>
      </c>
      <c r="CJ49" t="e">
        <f>AND('Surface Coating'!#REF!,"AAAAAGX/flc=")</f>
        <v>#REF!</v>
      </c>
      <c r="CK49" t="e">
        <f>AND('Surface Coating'!#REF!,"AAAAAGX/flg=")</f>
        <v>#REF!</v>
      </c>
      <c r="CL49" t="e">
        <f>AND('Surface Coating'!#REF!,"AAAAAGX/flk=")</f>
        <v>#REF!</v>
      </c>
      <c r="CM49" t="e">
        <f>AND('Surface Coating'!#REF!,"AAAAAGX/flo=")</f>
        <v>#REF!</v>
      </c>
      <c r="CN49" t="e">
        <f>IF('Surface Coating'!#REF!,"AAAAAGX/fls=",0)</f>
        <v>#REF!</v>
      </c>
      <c r="CO49" t="e">
        <f>AND('Surface Coating'!#REF!,"AAAAAGX/flw=")</f>
        <v>#REF!</v>
      </c>
      <c r="CP49" t="e">
        <f>AND('Surface Coating'!#REF!,"AAAAAGX/fl0=")</f>
        <v>#REF!</v>
      </c>
      <c r="CQ49" t="e">
        <f>AND('Surface Coating'!#REF!,"AAAAAGX/fl4=")</f>
        <v>#REF!</v>
      </c>
      <c r="CR49" t="e">
        <f>AND('Surface Coating'!#REF!,"AAAAAGX/fl8=")</f>
        <v>#REF!</v>
      </c>
      <c r="CS49" t="e">
        <f>AND('Surface Coating'!#REF!,"AAAAAGX/fmA=")</f>
        <v>#REF!</v>
      </c>
      <c r="CT49" t="e">
        <f>AND('Surface Coating'!#REF!,"AAAAAGX/fmE=")</f>
        <v>#REF!</v>
      </c>
      <c r="CU49" t="e">
        <f>AND('Surface Coating'!#REF!,"AAAAAGX/fmI=")</f>
        <v>#REF!</v>
      </c>
      <c r="CV49" t="e">
        <f>AND('Surface Coating'!#REF!,"AAAAAGX/fmM=")</f>
        <v>#REF!</v>
      </c>
      <c r="CW49" t="e">
        <f>AND('Surface Coating'!#REF!,"AAAAAGX/fmQ=")</f>
        <v>#REF!</v>
      </c>
      <c r="CX49" t="e">
        <f>AND('Surface Coating'!#REF!,"AAAAAGX/fmU=")</f>
        <v>#REF!</v>
      </c>
      <c r="CY49" t="e">
        <f>AND('Surface Coating'!#REF!,"AAAAAGX/fmY=")</f>
        <v>#REF!</v>
      </c>
      <c r="CZ49" t="e">
        <f>AND('Surface Coating'!#REF!,"AAAAAGX/fmc=")</f>
        <v>#REF!</v>
      </c>
      <c r="DA49" t="e">
        <f>AND('Surface Coating'!#REF!,"AAAAAGX/fmg=")</f>
        <v>#REF!</v>
      </c>
      <c r="DB49" t="e">
        <f>AND('Surface Coating'!#REF!,"AAAAAGX/fmk=")</f>
        <v>#REF!</v>
      </c>
      <c r="DC49" t="e">
        <f>AND('Surface Coating'!#REF!,"AAAAAGX/fmo=")</f>
        <v>#REF!</v>
      </c>
      <c r="DD49" t="e">
        <f>AND('Surface Coating'!#REF!,"AAAAAGX/fms=")</f>
        <v>#REF!</v>
      </c>
      <c r="DE49" t="e">
        <f>AND('Surface Coating'!#REF!,"AAAAAGX/fmw=")</f>
        <v>#REF!</v>
      </c>
      <c r="DF49" t="e">
        <f>AND('Surface Coating'!#REF!,"AAAAAGX/fm0=")</f>
        <v>#REF!</v>
      </c>
      <c r="DG49" t="e">
        <f>AND('Surface Coating'!#REF!,"AAAAAGX/fm4=")</f>
        <v>#REF!</v>
      </c>
      <c r="DH49" t="e">
        <f>AND('Surface Coating'!#REF!,"AAAAAGX/fm8=")</f>
        <v>#REF!</v>
      </c>
      <c r="DI49" t="e">
        <f>AND('Surface Coating'!#REF!,"AAAAAGX/fnA=")</f>
        <v>#REF!</v>
      </c>
      <c r="DJ49" t="e">
        <f>AND('Surface Coating'!#REF!,"AAAAAGX/fnE=")</f>
        <v>#REF!</v>
      </c>
      <c r="DK49" t="e">
        <f>AND('Surface Coating'!#REF!,"AAAAAGX/fnI=")</f>
        <v>#REF!</v>
      </c>
      <c r="DL49" t="e">
        <f>AND('Surface Coating'!#REF!,"AAAAAGX/fnM=")</f>
        <v>#REF!</v>
      </c>
      <c r="DM49" t="e">
        <f>AND('Surface Coating'!#REF!,"AAAAAGX/fnQ=")</f>
        <v>#REF!</v>
      </c>
      <c r="DN49" t="e">
        <f>IF('Surface Coating'!#REF!,"AAAAAGX/fnU=",0)</f>
        <v>#REF!</v>
      </c>
      <c r="DO49" t="e">
        <f>AND('Surface Coating'!#REF!,"AAAAAGX/fnY=")</f>
        <v>#REF!</v>
      </c>
      <c r="DP49" t="e">
        <f>AND('Surface Coating'!#REF!,"AAAAAGX/fnc=")</f>
        <v>#REF!</v>
      </c>
      <c r="DQ49" t="e">
        <f>AND('Surface Coating'!#REF!,"AAAAAGX/fng=")</f>
        <v>#REF!</v>
      </c>
      <c r="DR49" t="e">
        <f>AND('Surface Coating'!#REF!,"AAAAAGX/fnk=")</f>
        <v>#REF!</v>
      </c>
      <c r="DS49" t="e">
        <f>AND('Surface Coating'!#REF!,"AAAAAGX/fno=")</f>
        <v>#REF!</v>
      </c>
      <c r="DT49" t="e">
        <f>AND('Surface Coating'!#REF!,"AAAAAGX/fns=")</f>
        <v>#REF!</v>
      </c>
      <c r="DU49" t="e">
        <f>AND('Surface Coating'!#REF!,"AAAAAGX/fnw=")</f>
        <v>#REF!</v>
      </c>
      <c r="DV49" t="e">
        <f>AND('Surface Coating'!#REF!,"AAAAAGX/fn0=")</f>
        <v>#REF!</v>
      </c>
      <c r="DW49" t="e">
        <f>AND('Surface Coating'!#REF!,"AAAAAGX/fn4=")</f>
        <v>#REF!</v>
      </c>
      <c r="DX49" t="e">
        <f>AND('Surface Coating'!#REF!,"AAAAAGX/fn8=")</f>
        <v>#REF!</v>
      </c>
      <c r="DY49" t="e">
        <f>AND('Surface Coating'!#REF!,"AAAAAGX/foA=")</f>
        <v>#REF!</v>
      </c>
      <c r="DZ49" t="e">
        <f>AND('Surface Coating'!#REF!,"AAAAAGX/foE=")</f>
        <v>#REF!</v>
      </c>
      <c r="EA49" t="e">
        <f>AND('Surface Coating'!#REF!,"AAAAAGX/foI=")</f>
        <v>#REF!</v>
      </c>
      <c r="EB49" t="e">
        <f>AND('Surface Coating'!#REF!,"AAAAAGX/foM=")</f>
        <v>#REF!</v>
      </c>
      <c r="EC49" t="e">
        <f>AND('Surface Coating'!#REF!,"AAAAAGX/foQ=")</f>
        <v>#REF!</v>
      </c>
      <c r="ED49" t="e">
        <f>AND('Surface Coating'!#REF!,"AAAAAGX/foU=")</f>
        <v>#REF!</v>
      </c>
      <c r="EE49" t="e">
        <f>AND('Surface Coating'!#REF!,"AAAAAGX/foY=")</f>
        <v>#REF!</v>
      </c>
      <c r="EF49" t="e">
        <f>AND('Surface Coating'!#REF!,"AAAAAGX/foc=")</f>
        <v>#REF!</v>
      </c>
      <c r="EG49" t="e">
        <f>AND('Surface Coating'!#REF!,"AAAAAGX/fog=")</f>
        <v>#REF!</v>
      </c>
      <c r="EH49" t="e">
        <f>AND('Surface Coating'!#REF!,"AAAAAGX/fok=")</f>
        <v>#REF!</v>
      </c>
      <c r="EI49" t="e">
        <f>AND('Surface Coating'!#REF!,"AAAAAGX/foo=")</f>
        <v>#REF!</v>
      </c>
      <c r="EJ49" t="e">
        <f>AND('Surface Coating'!#REF!,"AAAAAGX/fos=")</f>
        <v>#REF!</v>
      </c>
      <c r="EK49" t="e">
        <f>AND('Surface Coating'!#REF!,"AAAAAGX/fow=")</f>
        <v>#REF!</v>
      </c>
      <c r="EL49" t="e">
        <f>AND('Surface Coating'!#REF!,"AAAAAGX/fo0=")</f>
        <v>#REF!</v>
      </c>
      <c r="EM49" t="e">
        <f>AND('Surface Coating'!#REF!,"AAAAAGX/fo4=")</f>
        <v>#REF!</v>
      </c>
      <c r="EN49" t="e">
        <f>IF('Surface Coating'!#REF!,"AAAAAGX/fo8=",0)</f>
        <v>#REF!</v>
      </c>
      <c r="EO49" t="e">
        <f>AND('Surface Coating'!#REF!,"AAAAAGX/fpA=")</f>
        <v>#REF!</v>
      </c>
      <c r="EP49" t="e">
        <f>AND('Surface Coating'!#REF!,"AAAAAGX/fpE=")</f>
        <v>#REF!</v>
      </c>
      <c r="EQ49" t="e">
        <f>AND('Surface Coating'!#REF!,"AAAAAGX/fpI=")</f>
        <v>#REF!</v>
      </c>
      <c r="ER49" t="e">
        <f>AND('Surface Coating'!#REF!,"AAAAAGX/fpM=")</f>
        <v>#REF!</v>
      </c>
      <c r="ES49" t="e">
        <f>AND('Surface Coating'!#REF!,"AAAAAGX/fpQ=")</f>
        <v>#REF!</v>
      </c>
      <c r="ET49" t="e">
        <f>AND('Surface Coating'!#REF!,"AAAAAGX/fpU=")</f>
        <v>#REF!</v>
      </c>
      <c r="EU49" t="e">
        <f>AND('Surface Coating'!#REF!,"AAAAAGX/fpY=")</f>
        <v>#REF!</v>
      </c>
      <c r="EV49" t="e">
        <f>AND('Surface Coating'!#REF!,"AAAAAGX/fpc=")</f>
        <v>#REF!</v>
      </c>
      <c r="EW49" t="e">
        <f>AND('Surface Coating'!#REF!,"AAAAAGX/fpg=")</f>
        <v>#REF!</v>
      </c>
      <c r="EX49" t="e">
        <f>AND('Surface Coating'!#REF!,"AAAAAGX/fpk=")</f>
        <v>#REF!</v>
      </c>
      <c r="EY49" t="e">
        <f>AND('Surface Coating'!#REF!,"AAAAAGX/fpo=")</f>
        <v>#REF!</v>
      </c>
      <c r="EZ49" t="e">
        <f>AND('Surface Coating'!#REF!,"AAAAAGX/fps=")</f>
        <v>#REF!</v>
      </c>
      <c r="FA49" t="e">
        <f>AND('Surface Coating'!#REF!,"AAAAAGX/fpw=")</f>
        <v>#REF!</v>
      </c>
      <c r="FB49" t="e">
        <f>AND('Surface Coating'!#REF!,"AAAAAGX/fp0=")</f>
        <v>#REF!</v>
      </c>
      <c r="FC49" t="e">
        <f>AND('Surface Coating'!#REF!,"AAAAAGX/fp4=")</f>
        <v>#REF!</v>
      </c>
      <c r="FD49" t="e">
        <f>AND('Surface Coating'!#REF!,"AAAAAGX/fp8=")</f>
        <v>#REF!</v>
      </c>
      <c r="FE49" t="e">
        <f>AND('Surface Coating'!#REF!,"AAAAAGX/fqA=")</f>
        <v>#REF!</v>
      </c>
      <c r="FF49" t="e">
        <f>AND('Surface Coating'!#REF!,"AAAAAGX/fqE=")</f>
        <v>#REF!</v>
      </c>
      <c r="FG49" t="e">
        <f>AND('Surface Coating'!#REF!,"AAAAAGX/fqI=")</f>
        <v>#REF!</v>
      </c>
      <c r="FH49" t="e">
        <f>AND('Surface Coating'!#REF!,"AAAAAGX/fqM=")</f>
        <v>#REF!</v>
      </c>
      <c r="FI49" t="e">
        <f>AND('Surface Coating'!#REF!,"AAAAAGX/fqQ=")</f>
        <v>#REF!</v>
      </c>
      <c r="FJ49" t="e">
        <f>AND('Surface Coating'!#REF!,"AAAAAGX/fqU=")</f>
        <v>#REF!</v>
      </c>
      <c r="FK49" t="e">
        <f>AND('Surface Coating'!#REF!,"AAAAAGX/fqY=")</f>
        <v>#REF!</v>
      </c>
      <c r="FL49" t="e">
        <f>AND('Surface Coating'!#REF!,"AAAAAGX/fqc=")</f>
        <v>#REF!</v>
      </c>
      <c r="FM49" t="e">
        <f>AND('Surface Coating'!#REF!,"AAAAAGX/fqg=")</f>
        <v>#REF!</v>
      </c>
      <c r="FN49" t="e">
        <f>IF('Surface Coating'!#REF!,"AAAAAGX/fqk=",0)</f>
        <v>#REF!</v>
      </c>
      <c r="FO49" t="e">
        <f>AND('Surface Coating'!#REF!,"AAAAAGX/fqo=")</f>
        <v>#REF!</v>
      </c>
      <c r="FP49" t="e">
        <f>AND('Surface Coating'!#REF!,"AAAAAGX/fqs=")</f>
        <v>#REF!</v>
      </c>
      <c r="FQ49" t="e">
        <f>AND('Surface Coating'!#REF!,"AAAAAGX/fqw=")</f>
        <v>#REF!</v>
      </c>
      <c r="FR49" t="e">
        <f>AND('Surface Coating'!#REF!,"AAAAAGX/fq0=")</f>
        <v>#REF!</v>
      </c>
      <c r="FS49" t="e">
        <f>AND('Surface Coating'!#REF!,"AAAAAGX/fq4=")</f>
        <v>#REF!</v>
      </c>
      <c r="FT49" t="e">
        <f>AND('Surface Coating'!#REF!,"AAAAAGX/fq8=")</f>
        <v>#REF!</v>
      </c>
      <c r="FU49" t="e">
        <f>AND('Surface Coating'!#REF!,"AAAAAGX/frA=")</f>
        <v>#REF!</v>
      </c>
      <c r="FV49" t="e">
        <f>AND('Surface Coating'!#REF!,"AAAAAGX/frE=")</f>
        <v>#REF!</v>
      </c>
      <c r="FW49" t="e">
        <f>AND('Surface Coating'!#REF!,"AAAAAGX/frI=")</f>
        <v>#REF!</v>
      </c>
      <c r="FX49" t="e">
        <f>AND('Surface Coating'!#REF!,"AAAAAGX/frM=")</f>
        <v>#REF!</v>
      </c>
      <c r="FY49" t="e">
        <f>AND('Surface Coating'!#REF!,"AAAAAGX/frQ=")</f>
        <v>#REF!</v>
      </c>
      <c r="FZ49" t="e">
        <f>AND('Surface Coating'!#REF!,"AAAAAGX/frU=")</f>
        <v>#REF!</v>
      </c>
      <c r="GA49" t="e">
        <f>AND('Surface Coating'!#REF!,"AAAAAGX/frY=")</f>
        <v>#REF!</v>
      </c>
      <c r="GB49" t="e">
        <f>AND('Surface Coating'!#REF!,"AAAAAGX/frc=")</f>
        <v>#REF!</v>
      </c>
      <c r="GC49" t="e">
        <f>AND('Surface Coating'!#REF!,"AAAAAGX/frg=")</f>
        <v>#REF!</v>
      </c>
      <c r="GD49" t="e">
        <f>AND('Surface Coating'!#REF!,"AAAAAGX/frk=")</f>
        <v>#REF!</v>
      </c>
      <c r="GE49" t="e">
        <f>AND('Surface Coating'!#REF!,"AAAAAGX/fro=")</f>
        <v>#REF!</v>
      </c>
      <c r="GF49" t="e">
        <f>AND('Surface Coating'!#REF!,"AAAAAGX/frs=")</f>
        <v>#REF!</v>
      </c>
      <c r="GG49" t="e">
        <f>AND('Surface Coating'!#REF!,"AAAAAGX/frw=")</f>
        <v>#REF!</v>
      </c>
      <c r="GH49" t="e">
        <f>AND('Surface Coating'!#REF!,"AAAAAGX/fr0=")</f>
        <v>#REF!</v>
      </c>
      <c r="GI49" t="e">
        <f>AND('Surface Coating'!#REF!,"AAAAAGX/fr4=")</f>
        <v>#REF!</v>
      </c>
      <c r="GJ49" t="e">
        <f>AND('Surface Coating'!#REF!,"AAAAAGX/fr8=")</f>
        <v>#REF!</v>
      </c>
      <c r="GK49" t="e">
        <f>AND('Surface Coating'!#REF!,"AAAAAGX/fsA=")</f>
        <v>#REF!</v>
      </c>
      <c r="GL49" t="e">
        <f>AND('Surface Coating'!#REF!,"AAAAAGX/fsE=")</f>
        <v>#REF!</v>
      </c>
      <c r="GM49" t="e">
        <f>AND('Surface Coating'!#REF!,"AAAAAGX/fsI=")</f>
        <v>#REF!</v>
      </c>
      <c r="GN49" t="e">
        <f>IF('Surface Coating'!#REF!,"AAAAAGX/fsM=",0)</f>
        <v>#REF!</v>
      </c>
      <c r="GO49" t="e">
        <f>AND('Surface Coating'!#REF!,"AAAAAGX/fsQ=")</f>
        <v>#REF!</v>
      </c>
      <c r="GP49" t="e">
        <f>AND('Surface Coating'!#REF!,"AAAAAGX/fsU=")</f>
        <v>#REF!</v>
      </c>
      <c r="GQ49" t="e">
        <f>AND('Surface Coating'!#REF!,"AAAAAGX/fsY=")</f>
        <v>#REF!</v>
      </c>
      <c r="GR49" t="e">
        <f>AND('Surface Coating'!#REF!,"AAAAAGX/fsc=")</f>
        <v>#REF!</v>
      </c>
      <c r="GS49" t="e">
        <f>AND('Surface Coating'!#REF!,"AAAAAGX/fsg=")</f>
        <v>#REF!</v>
      </c>
      <c r="GT49" t="e">
        <f>AND('Surface Coating'!#REF!,"AAAAAGX/fsk=")</f>
        <v>#REF!</v>
      </c>
      <c r="GU49" t="e">
        <f>AND('Surface Coating'!#REF!,"AAAAAGX/fso=")</f>
        <v>#REF!</v>
      </c>
      <c r="GV49" t="e">
        <f>AND('Surface Coating'!#REF!,"AAAAAGX/fss=")</f>
        <v>#REF!</v>
      </c>
      <c r="GW49" t="e">
        <f>AND('Surface Coating'!#REF!,"AAAAAGX/fsw=")</f>
        <v>#REF!</v>
      </c>
      <c r="GX49" t="e">
        <f>AND('Surface Coating'!#REF!,"AAAAAGX/fs0=")</f>
        <v>#REF!</v>
      </c>
      <c r="GY49" t="e">
        <f>AND('Surface Coating'!#REF!,"AAAAAGX/fs4=")</f>
        <v>#REF!</v>
      </c>
      <c r="GZ49" t="e">
        <f>AND('Surface Coating'!#REF!,"AAAAAGX/fs8=")</f>
        <v>#REF!</v>
      </c>
      <c r="HA49" t="e">
        <f>AND('Surface Coating'!#REF!,"AAAAAGX/ftA=")</f>
        <v>#REF!</v>
      </c>
      <c r="HB49" t="e">
        <f>AND('Surface Coating'!#REF!,"AAAAAGX/ftE=")</f>
        <v>#REF!</v>
      </c>
      <c r="HC49" t="e">
        <f>AND('Surface Coating'!#REF!,"AAAAAGX/ftI=")</f>
        <v>#REF!</v>
      </c>
      <c r="HD49" t="e">
        <f>AND('Surface Coating'!#REF!,"AAAAAGX/ftM=")</f>
        <v>#REF!</v>
      </c>
      <c r="HE49" t="e">
        <f>AND('Surface Coating'!#REF!,"AAAAAGX/ftQ=")</f>
        <v>#REF!</v>
      </c>
      <c r="HF49" t="e">
        <f>AND('Surface Coating'!#REF!,"AAAAAGX/ftU=")</f>
        <v>#REF!</v>
      </c>
      <c r="HG49" t="e">
        <f>AND('Surface Coating'!#REF!,"AAAAAGX/ftY=")</f>
        <v>#REF!</v>
      </c>
      <c r="HH49" t="e">
        <f>AND('Surface Coating'!#REF!,"AAAAAGX/ftc=")</f>
        <v>#REF!</v>
      </c>
      <c r="HI49" t="e">
        <f>AND('Surface Coating'!#REF!,"AAAAAGX/ftg=")</f>
        <v>#REF!</v>
      </c>
      <c r="HJ49" t="e">
        <f>AND('Surface Coating'!#REF!,"AAAAAGX/ftk=")</f>
        <v>#REF!</v>
      </c>
      <c r="HK49" t="e">
        <f>AND('Surface Coating'!#REF!,"AAAAAGX/fto=")</f>
        <v>#REF!</v>
      </c>
      <c r="HL49" t="e">
        <f>AND('Surface Coating'!#REF!,"AAAAAGX/fts=")</f>
        <v>#REF!</v>
      </c>
      <c r="HM49" t="e">
        <f>AND('Surface Coating'!#REF!,"AAAAAGX/ftw=")</f>
        <v>#REF!</v>
      </c>
      <c r="HN49" t="e">
        <f>IF('Surface Coating'!#REF!,"AAAAAGX/ft0=",0)</f>
        <v>#REF!</v>
      </c>
      <c r="HO49" t="e">
        <f>AND('Surface Coating'!#REF!,"AAAAAGX/ft4=")</f>
        <v>#REF!</v>
      </c>
      <c r="HP49" t="e">
        <f>AND('Surface Coating'!#REF!,"AAAAAGX/ft8=")</f>
        <v>#REF!</v>
      </c>
      <c r="HQ49" t="e">
        <f>AND('Surface Coating'!#REF!,"AAAAAGX/fuA=")</f>
        <v>#REF!</v>
      </c>
      <c r="HR49" t="e">
        <f>AND('Surface Coating'!#REF!,"AAAAAGX/fuE=")</f>
        <v>#REF!</v>
      </c>
      <c r="HS49" t="e">
        <f>AND('Surface Coating'!#REF!,"AAAAAGX/fuI=")</f>
        <v>#REF!</v>
      </c>
      <c r="HT49" t="e">
        <f>AND('Surface Coating'!#REF!,"AAAAAGX/fuM=")</f>
        <v>#REF!</v>
      </c>
      <c r="HU49" t="e">
        <f>AND('Surface Coating'!#REF!,"AAAAAGX/fuQ=")</f>
        <v>#REF!</v>
      </c>
      <c r="HV49" t="e">
        <f>AND('Surface Coating'!#REF!,"AAAAAGX/fuU=")</f>
        <v>#REF!</v>
      </c>
      <c r="HW49" t="e">
        <f>AND('Surface Coating'!#REF!,"AAAAAGX/fuY=")</f>
        <v>#REF!</v>
      </c>
      <c r="HX49" t="e">
        <f>AND('Surface Coating'!#REF!,"AAAAAGX/fuc=")</f>
        <v>#REF!</v>
      </c>
      <c r="HY49" t="e">
        <f>AND('Surface Coating'!#REF!,"AAAAAGX/fug=")</f>
        <v>#REF!</v>
      </c>
      <c r="HZ49" t="e">
        <f>AND('Surface Coating'!#REF!,"AAAAAGX/fuk=")</f>
        <v>#REF!</v>
      </c>
      <c r="IA49" t="e">
        <f>AND('Surface Coating'!#REF!,"AAAAAGX/fuo=")</f>
        <v>#REF!</v>
      </c>
      <c r="IB49" t="e">
        <f>AND('Surface Coating'!#REF!,"AAAAAGX/fus=")</f>
        <v>#REF!</v>
      </c>
      <c r="IC49" t="e">
        <f>AND('Surface Coating'!#REF!,"AAAAAGX/fuw=")</f>
        <v>#REF!</v>
      </c>
      <c r="ID49" t="e">
        <f>AND('Surface Coating'!#REF!,"AAAAAGX/fu0=")</f>
        <v>#REF!</v>
      </c>
      <c r="IE49" t="e">
        <f>AND('Surface Coating'!#REF!,"AAAAAGX/fu4=")</f>
        <v>#REF!</v>
      </c>
      <c r="IF49" t="e">
        <f>AND('Surface Coating'!#REF!,"AAAAAGX/fu8=")</f>
        <v>#REF!</v>
      </c>
      <c r="IG49" t="e">
        <f>AND('Surface Coating'!#REF!,"AAAAAGX/fvA=")</f>
        <v>#REF!</v>
      </c>
      <c r="IH49" t="e">
        <f>AND('Surface Coating'!#REF!,"AAAAAGX/fvE=")</f>
        <v>#REF!</v>
      </c>
      <c r="II49" t="e">
        <f>AND('Surface Coating'!#REF!,"AAAAAGX/fvI=")</f>
        <v>#REF!</v>
      </c>
      <c r="IJ49" t="e">
        <f>AND('Surface Coating'!#REF!,"AAAAAGX/fvM=")</f>
        <v>#REF!</v>
      </c>
      <c r="IK49" t="e">
        <f>AND('Surface Coating'!#REF!,"AAAAAGX/fvQ=")</f>
        <v>#REF!</v>
      </c>
      <c r="IL49" t="e">
        <f>AND('Surface Coating'!#REF!,"AAAAAGX/fvU=")</f>
        <v>#REF!</v>
      </c>
      <c r="IM49" t="e">
        <f>AND('Surface Coating'!#REF!,"AAAAAGX/fvY=")</f>
        <v>#REF!</v>
      </c>
      <c r="IN49" t="e">
        <f>IF('Surface Coating'!#REF!,"AAAAAGX/fvc=",0)</f>
        <v>#REF!</v>
      </c>
      <c r="IO49" t="e">
        <f>AND('Surface Coating'!#REF!,"AAAAAGX/fvg=")</f>
        <v>#REF!</v>
      </c>
      <c r="IP49" t="e">
        <f>AND('Surface Coating'!#REF!,"AAAAAGX/fvk=")</f>
        <v>#REF!</v>
      </c>
      <c r="IQ49" t="e">
        <f>AND('Surface Coating'!#REF!,"AAAAAGX/fvo=")</f>
        <v>#REF!</v>
      </c>
      <c r="IR49" t="e">
        <f>AND('Surface Coating'!#REF!,"AAAAAGX/fvs=")</f>
        <v>#REF!</v>
      </c>
      <c r="IS49" t="e">
        <f>AND('Surface Coating'!#REF!,"AAAAAGX/fvw=")</f>
        <v>#REF!</v>
      </c>
      <c r="IT49" t="e">
        <f>AND('Surface Coating'!#REF!,"AAAAAGX/fv0=")</f>
        <v>#REF!</v>
      </c>
      <c r="IU49" t="e">
        <f>AND('Surface Coating'!#REF!,"AAAAAGX/fv4=")</f>
        <v>#REF!</v>
      </c>
      <c r="IV49" t="e">
        <f>AND('Surface Coating'!#REF!,"AAAAAGX/fv8=")</f>
        <v>#REF!</v>
      </c>
    </row>
    <row r="50" spans="1:256">
      <c r="A50" t="e">
        <f>AND('Surface Coating'!#REF!,"AAAAAH/frgA=")</f>
        <v>#REF!</v>
      </c>
      <c r="B50" t="e">
        <f>AND('Surface Coating'!#REF!,"AAAAAH/frgE=")</f>
        <v>#REF!</v>
      </c>
      <c r="C50" t="e">
        <f>AND('Surface Coating'!#REF!,"AAAAAH/frgI=")</f>
        <v>#REF!</v>
      </c>
      <c r="D50" t="e">
        <f>AND('Surface Coating'!#REF!,"AAAAAH/frgM=")</f>
        <v>#REF!</v>
      </c>
      <c r="E50" t="e">
        <f>AND('Surface Coating'!#REF!,"AAAAAH/frgQ=")</f>
        <v>#REF!</v>
      </c>
      <c r="F50" t="e">
        <f>AND('Surface Coating'!#REF!,"AAAAAH/frgU=")</f>
        <v>#REF!</v>
      </c>
      <c r="G50" t="e">
        <f>AND('Surface Coating'!#REF!,"AAAAAH/frgY=")</f>
        <v>#REF!</v>
      </c>
      <c r="H50" t="e">
        <f>AND('Surface Coating'!#REF!,"AAAAAH/frgc=")</f>
        <v>#REF!</v>
      </c>
      <c r="I50" t="e">
        <f>AND('Surface Coating'!#REF!,"AAAAAH/frgg=")</f>
        <v>#REF!</v>
      </c>
      <c r="J50" t="e">
        <f>AND('Surface Coating'!#REF!,"AAAAAH/frgk=")</f>
        <v>#REF!</v>
      </c>
      <c r="K50" t="e">
        <f>AND('Surface Coating'!#REF!,"AAAAAH/frgo=")</f>
        <v>#REF!</v>
      </c>
      <c r="L50" t="e">
        <f>AND('Surface Coating'!#REF!,"AAAAAH/frgs=")</f>
        <v>#REF!</v>
      </c>
      <c r="M50" t="e">
        <f>AND('Surface Coating'!#REF!,"AAAAAH/frgw=")</f>
        <v>#REF!</v>
      </c>
      <c r="N50" t="e">
        <f>AND('Surface Coating'!#REF!,"AAAAAH/frg0=")</f>
        <v>#REF!</v>
      </c>
      <c r="O50" t="e">
        <f>AND('Surface Coating'!#REF!,"AAAAAH/frg4=")</f>
        <v>#REF!</v>
      </c>
      <c r="P50" t="e">
        <f>AND('Surface Coating'!#REF!,"AAAAAH/frg8=")</f>
        <v>#REF!</v>
      </c>
      <c r="Q50" t="e">
        <f>AND('Surface Coating'!#REF!,"AAAAAH/frhA=")</f>
        <v>#REF!</v>
      </c>
      <c r="R50" t="e">
        <f>IF('Surface Coating'!#REF!,"AAAAAH/frhE=",0)</f>
        <v>#REF!</v>
      </c>
      <c r="S50" t="e">
        <f>AND('Surface Coating'!#REF!,"AAAAAH/frhI=")</f>
        <v>#REF!</v>
      </c>
      <c r="T50" t="e">
        <f>AND('Surface Coating'!#REF!,"AAAAAH/frhM=")</f>
        <v>#REF!</v>
      </c>
      <c r="U50" t="e">
        <f>AND('Surface Coating'!#REF!,"AAAAAH/frhQ=")</f>
        <v>#REF!</v>
      </c>
      <c r="V50" t="e">
        <f>AND('Surface Coating'!#REF!,"AAAAAH/frhU=")</f>
        <v>#REF!</v>
      </c>
      <c r="W50" t="e">
        <f>AND('Surface Coating'!#REF!,"AAAAAH/frhY=")</f>
        <v>#REF!</v>
      </c>
      <c r="X50" t="e">
        <f>AND('Surface Coating'!#REF!,"AAAAAH/frhc=")</f>
        <v>#REF!</v>
      </c>
      <c r="Y50" t="e">
        <f>AND('Surface Coating'!#REF!,"AAAAAH/frhg=")</f>
        <v>#REF!</v>
      </c>
      <c r="Z50" t="e">
        <f>AND('Surface Coating'!#REF!,"AAAAAH/frhk=")</f>
        <v>#REF!</v>
      </c>
      <c r="AA50" t="e">
        <f>AND('Surface Coating'!#REF!,"AAAAAH/frho=")</f>
        <v>#REF!</v>
      </c>
      <c r="AB50" t="e">
        <f>AND('Surface Coating'!#REF!,"AAAAAH/frhs=")</f>
        <v>#REF!</v>
      </c>
      <c r="AC50" t="e">
        <f>AND('Surface Coating'!#REF!,"AAAAAH/frhw=")</f>
        <v>#REF!</v>
      </c>
      <c r="AD50" t="e">
        <f>AND('Surface Coating'!#REF!,"AAAAAH/frh0=")</f>
        <v>#REF!</v>
      </c>
      <c r="AE50" t="e">
        <f>AND('Surface Coating'!#REF!,"AAAAAH/frh4=")</f>
        <v>#REF!</v>
      </c>
      <c r="AF50" t="e">
        <f>AND('Surface Coating'!#REF!,"AAAAAH/frh8=")</f>
        <v>#REF!</v>
      </c>
      <c r="AG50" t="e">
        <f>AND('Surface Coating'!#REF!,"AAAAAH/friA=")</f>
        <v>#REF!</v>
      </c>
      <c r="AH50" t="e">
        <f>AND('Surface Coating'!#REF!,"AAAAAH/friE=")</f>
        <v>#REF!</v>
      </c>
      <c r="AI50" t="e">
        <f>AND('Surface Coating'!#REF!,"AAAAAH/friI=")</f>
        <v>#REF!</v>
      </c>
      <c r="AJ50" t="e">
        <f>AND('Surface Coating'!#REF!,"AAAAAH/friM=")</f>
        <v>#REF!</v>
      </c>
      <c r="AK50" t="e">
        <f>AND('Surface Coating'!#REF!,"AAAAAH/friQ=")</f>
        <v>#REF!</v>
      </c>
      <c r="AL50" t="e">
        <f>AND('Surface Coating'!#REF!,"AAAAAH/friU=")</f>
        <v>#REF!</v>
      </c>
      <c r="AM50" t="e">
        <f>AND('Surface Coating'!#REF!,"AAAAAH/friY=")</f>
        <v>#REF!</v>
      </c>
      <c r="AN50" t="e">
        <f>AND('Surface Coating'!#REF!,"AAAAAH/fric=")</f>
        <v>#REF!</v>
      </c>
      <c r="AO50" t="e">
        <f>AND('Surface Coating'!#REF!,"AAAAAH/frig=")</f>
        <v>#REF!</v>
      </c>
      <c r="AP50" t="e">
        <f>AND('Surface Coating'!#REF!,"AAAAAH/frik=")</f>
        <v>#REF!</v>
      </c>
      <c r="AQ50" t="e">
        <f>AND('Surface Coating'!#REF!,"AAAAAH/frio=")</f>
        <v>#REF!</v>
      </c>
      <c r="AR50" t="e">
        <f>IF('Surface Coating'!#REF!,"AAAAAH/fris=",0)</f>
        <v>#REF!</v>
      </c>
      <c r="AS50" t="e">
        <f>AND('Surface Coating'!#REF!,"AAAAAH/friw=")</f>
        <v>#REF!</v>
      </c>
      <c r="AT50" t="e">
        <f>AND('Surface Coating'!#REF!,"AAAAAH/fri0=")</f>
        <v>#REF!</v>
      </c>
      <c r="AU50" t="e">
        <f>AND('Surface Coating'!#REF!,"AAAAAH/fri4=")</f>
        <v>#REF!</v>
      </c>
      <c r="AV50" t="e">
        <f>AND('Surface Coating'!#REF!,"AAAAAH/fri8=")</f>
        <v>#REF!</v>
      </c>
      <c r="AW50" t="e">
        <f>AND('Surface Coating'!#REF!,"AAAAAH/frjA=")</f>
        <v>#REF!</v>
      </c>
      <c r="AX50" t="e">
        <f>AND('Surface Coating'!#REF!,"AAAAAH/frjE=")</f>
        <v>#REF!</v>
      </c>
      <c r="AY50" t="e">
        <f>AND('Surface Coating'!#REF!,"AAAAAH/frjI=")</f>
        <v>#REF!</v>
      </c>
      <c r="AZ50" t="e">
        <f>AND('Surface Coating'!#REF!,"AAAAAH/frjM=")</f>
        <v>#REF!</v>
      </c>
      <c r="BA50" t="e">
        <f>AND('Surface Coating'!#REF!,"AAAAAH/frjQ=")</f>
        <v>#REF!</v>
      </c>
      <c r="BB50" t="e">
        <f>AND('Surface Coating'!#REF!,"AAAAAH/frjU=")</f>
        <v>#REF!</v>
      </c>
      <c r="BC50" t="e">
        <f>AND('Surface Coating'!#REF!,"AAAAAH/frjY=")</f>
        <v>#REF!</v>
      </c>
      <c r="BD50" t="e">
        <f>AND('Surface Coating'!#REF!,"AAAAAH/frjc=")</f>
        <v>#REF!</v>
      </c>
      <c r="BE50" t="e">
        <f>AND('Surface Coating'!#REF!,"AAAAAH/frjg=")</f>
        <v>#REF!</v>
      </c>
      <c r="BF50" t="e">
        <f>AND('Surface Coating'!#REF!,"AAAAAH/frjk=")</f>
        <v>#REF!</v>
      </c>
      <c r="BG50" t="e">
        <f>AND('Surface Coating'!#REF!,"AAAAAH/frjo=")</f>
        <v>#REF!</v>
      </c>
      <c r="BH50" t="e">
        <f>AND('Surface Coating'!#REF!,"AAAAAH/frjs=")</f>
        <v>#REF!</v>
      </c>
      <c r="BI50" t="e">
        <f>AND('Surface Coating'!#REF!,"AAAAAH/frjw=")</f>
        <v>#REF!</v>
      </c>
      <c r="BJ50" t="e">
        <f>AND('Surface Coating'!#REF!,"AAAAAH/frj0=")</f>
        <v>#REF!</v>
      </c>
      <c r="BK50" t="e">
        <f>AND('Surface Coating'!#REF!,"AAAAAH/frj4=")</f>
        <v>#REF!</v>
      </c>
      <c r="BL50" t="e">
        <f>AND('Surface Coating'!#REF!,"AAAAAH/frj8=")</f>
        <v>#REF!</v>
      </c>
      <c r="BM50" t="e">
        <f>AND('Surface Coating'!#REF!,"AAAAAH/frkA=")</f>
        <v>#REF!</v>
      </c>
      <c r="BN50" t="e">
        <f>AND('Surface Coating'!#REF!,"AAAAAH/frkE=")</f>
        <v>#REF!</v>
      </c>
      <c r="BO50" t="e">
        <f>AND('Surface Coating'!#REF!,"AAAAAH/frkI=")</f>
        <v>#REF!</v>
      </c>
      <c r="BP50" t="e">
        <f>AND('Surface Coating'!#REF!,"AAAAAH/frkM=")</f>
        <v>#REF!</v>
      </c>
      <c r="BQ50" t="e">
        <f>AND('Surface Coating'!#REF!,"AAAAAH/frkQ=")</f>
        <v>#REF!</v>
      </c>
      <c r="BR50" t="e">
        <f>IF('Surface Coating'!#REF!,"AAAAAH/frkU=",0)</f>
        <v>#REF!</v>
      </c>
      <c r="BS50" t="e">
        <f>AND('Surface Coating'!#REF!,"AAAAAH/frkY=")</f>
        <v>#REF!</v>
      </c>
      <c r="BT50" t="e">
        <f>AND('Surface Coating'!#REF!,"AAAAAH/frkc=")</f>
        <v>#REF!</v>
      </c>
      <c r="BU50" t="e">
        <f>AND('Surface Coating'!#REF!,"AAAAAH/frkg=")</f>
        <v>#REF!</v>
      </c>
      <c r="BV50" t="e">
        <f>AND('Surface Coating'!#REF!,"AAAAAH/frkk=")</f>
        <v>#REF!</v>
      </c>
      <c r="BW50" t="e">
        <f>AND('Surface Coating'!#REF!,"AAAAAH/frko=")</f>
        <v>#REF!</v>
      </c>
      <c r="BX50" t="e">
        <f>AND('Surface Coating'!#REF!,"AAAAAH/frks=")</f>
        <v>#REF!</v>
      </c>
      <c r="BY50" t="e">
        <f>AND('Surface Coating'!#REF!,"AAAAAH/frkw=")</f>
        <v>#REF!</v>
      </c>
      <c r="BZ50" t="e">
        <f>AND('Surface Coating'!#REF!,"AAAAAH/frk0=")</f>
        <v>#REF!</v>
      </c>
      <c r="CA50" t="e">
        <f>AND('Surface Coating'!#REF!,"AAAAAH/frk4=")</f>
        <v>#REF!</v>
      </c>
      <c r="CB50" t="e">
        <f>AND('Surface Coating'!#REF!,"AAAAAH/frk8=")</f>
        <v>#REF!</v>
      </c>
      <c r="CC50" t="e">
        <f>AND('Surface Coating'!#REF!,"AAAAAH/frlA=")</f>
        <v>#REF!</v>
      </c>
      <c r="CD50" t="e">
        <f>AND('Surface Coating'!#REF!,"AAAAAH/frlE=")</f>
        <v>#REF!</v>
      </c>
      <c r="CE50" t="e">
        <f>AND('Surface Coating'!#REF!,"AAAAAH/frlI=")</f>
        <v>#REF!</v>
      </c>
      <c r="CF50" t="e">
        <f>AND('Surface Coating'!#REF!,"AAAAAH/frlM=")</f>
        <v>#REF!</v>
      </c>
      <c r="CG50" t="e">
        <f>AND('Surface Coating'!#REF!,"AAAAAH/frlQ=")</f>
        <v>#REF!</v>
      </c>
      <c r="CH50" t="e">
        <f>AND('Surface Coating'!#REF!,"AAAAAH/frlU=")</f>
        <v>#REF!</v>
      </c>
      <c r="CI50" t="e">
        <f>AND('Surface Coating'!#REF!,"AAAAAH/frlY=")</f>
        <v>#REF!</v>
      </c>
      <c r="CJ50" t="e">
        <f>AND('Surface Coating'!#REF!,"AAAAAH/frlc=")</f>
        <v>#REF!</v>
      </c>
      <c r="CK50" t="e">
        <f>AND('Surface Coating'!#REF!,"AAAAAH/frlg=")</f>
        <v>#REF!</v>
      </c>
      <c r="CL50" t="e">
        <f>AND('Surface Coating'!#REF!,"AAAAAH/frlk=")</f>
        <v>#REF!</v>
      </c>
      <c r="CM50" t="e">
        <f>AND('Surface Coating'!#REF!,"AAAAAH/frlo=")</f>
        <v>#REF!</v>
      </c>
      <c r="CN50" t="e">
        <f>AND('Surface Coating'!#REF!,"AAAAAH/frls=")</f>
        <v>#REF!</v>
      </c>
      <c r="CO50" t="e">
        <f>AND('Surface Coating'!#REF!,"AAAAAH/frlw=")</f>
        <v>#REF!</v>
      </c>
      <c r="CP50" t="e">
        <f>AND('Surface Coating'!#REF!,"AAAAAH/frl0=")</f>
        <v>#REF!</v>
      </c>
      <c r="CQ50" t="e">
        <f>AND('Surface Coating'!#REF!,"AAAAAH/frl4=")</f>
        <v>#REF!</v>
      </c>
      <c r="CR50" t="e">
        <f>IF('Surface Coating'!#REF!,"AAAAAH/frl8=",0)</f>
        <v>#REF!</v>
      </c>
      <c r="CS50" t="e">
        <f>AND('Surface Coating'!#REF!,"AAAAAH/frmA=")</f>
        <v>#REF!</v>
      </c>
      <c r="CT50" t="e">
        <f>AND('Surface Coating'!#REF!,"AAAAAH/frmE=")</f>
        <v>#REF!</v>
      </c>
      <c r="CU50" t="e">
        <f>AND('Surface Coating'!#REF!,"AAAAAH/frmI=")</f>
        <v>#REF!</v>
      </c>
      <c r="CV50" t="e">
        <f>AND('Surface Coating'!#REF!,"AAAAAH/frmM=")</f>
        <v>#REF!</v>
      </c>
      <c r="CW50" t="e">
        <f>AND('Surface Coating'!#REF!,"AAAAAH/frmQ=")</f>
        <v>#REF!</v>
      </c>
      <c r="CX50" t="e">
        <f>AND('Surface Coating'!#REF!,"AAAAAH/frmU=")</f>
        <v>#REF!</v>
      </c>
      <c r="CY50" t="e">
        <f>AND('Surface Coating'!#REF!,"AAAAAH/frmY=")</f>
        <v>#REF!</v>
      </c>
      <c r="CZ50" t="e">
        <f>AND('Surface Coating'!#REF!,"AAAAAH/frmc=")</f>
        <v>#REF!</v>
      </c>
      <c r="DA50" t="e">
        <f>AND('Surface Coating'!#REF!,"AAAAAH/frmg=")</f>
        <v>#REF!</v>
      </c>
      <c r="DB50" t="e">
        <f>AND('Surface Coating'!#REF!,"AAAAAH/frmk=")</f>
        <v>#REF!</v>
      </c>
      <c r="DC50" t="e">
        <f>AND('Surface Coating'!#REF!,"AAAAAH/frmo=")</f>
        <v>#REF!</v>
      </c>
      <c r="DD50" t="e">
        <f>AND('Surface Coating'!#REF!,"AAAAAH/frms=")</f>
        <v>#REF!</v>
      </c>
      <c r="DE50" t="e">
        <f>AND('Surface Coating'!#REF!,"AAAAAH/frmw=")</f>
        <v>#REF!</v>
      </c>
      <c r="DF50" t="e">
        <f>AND('Surface Coating'!#REF!,"AAAAAH/frm0=")</f>
        <v>#REF!</v>
      </c>
      <c r="DG50" t="e">
        <f>AND('Surface Coating'!#REF!,"AAAAAH/frm4=")</f>
        <v>#REF!</v>
      </c>
      <c r="DH50" t="e">
        <f>AND('Surface Coating'!#REF!,"AAAAAH/frm8=")</f>
        <v>#REF!</v>
      </c>
      <c r="DI50" t="e">
        <f>AND('Surface Coating'!#REF!,"AAAAAH/frnA=")</f>
        <v>#REF!</v>
      </c>
      <c r="DJ50" t="e">
        <f>AND('Surface Coating'!#REF!,"AAAAAH/frnE=")</f>
        <v>#REF!</v>
      </c>
      <c r="DK50" t="e">
        <f>AND('Surface Coating'!#REF!,"AAAAAH/frnI=")</f>
        <v>#REF!</v>
      </c>
      <c r="DL50" t="e">
        <f>AND('Surface Coating'!#REF!,"AAAAAH/frnM=")</f>
        <v>#REF!</v>
      </c>
      <c r="DM50" t="e">
        <f>AND('Surface Coating'!#REF!,"AAAAAH/frnQ=")</f>
        <v>#REF!</v>
      </c>
      <c r="DN50" t="e">
        <f>AND('Surface Coating'!#REF!,"AAAAAH/frnU=")</f>
        <v>#REF!</v>
      </c>
      <c r="DO50" t="e">
        <f>AND('Surface Coating'!#REF!,"AAAAAH/frnY=")</f>
        <v>#REF!</v>
      </c>
      <c r="DP50" t="e">
        <f>AND('Surface Coating'!#REF!,"AAAAAH/frnc=")</f>
        <v>#REF!</v>
      </c>
      <c r="DQ50" t="e">
        <f>AND('Surface Coating'!#REF!,"AAAAAH/frng=")</f>
        <v>#REF!</v>
      </c>
      <c r="DR50" t="e">
        <f>IF('Surface Coating'!#REF!,"AAAAAH/frnk=",0)</f>
        <v>#REF!</v>
      </c>
      <c r="DS50" t="e">
        <f>IF('Surface Coating'!#REF!,"AAAAAH/frno=",0)</f>
        <v>#REF!</v>
      </c>
      <c r="DT50" t="e">
        <f>IF('Surface Coating'!#REF!,"AAAAAH/frns=",0)</f>
        <v>#REF!</v>
      </c>
      <c r="DU50">
        <f>IF('Surface Coating'!A:A,"AAAAAH/frnw=",0)</f>
        <v>0</v>
      </c>
      <c r="DV50">
        <f>IF('Surface Coating'!B:B,"AAAAAH/frn0=",0)</f>
        <v>0</v>
      </c>
      <c r="DW50">
        <f>IF('Surface Coating'!C:C,"AAAAAH/frn4=",0)</f>
        <v>0</v>
      </c>
      <c r="DX50">
        <f>IF('Surface Coating'!D:D,"AAAAAH/frn8=",0)</f>
        <v>0</v>
      </c>
      <c r="DY50">
        <f>IF('Surface Coating'!E:E,"AAAAAH/froA=",0)</f>
        <v>0</v>
      </c>
      <c r="DZ50">
        <f>IF('Surface Coating'!F:F,"AAAAAH/froE=",0)</f>
        <v>0</v>
      </c>
      <c r="EA50">
        <f>IF('Surface Coating'!G:G,"AAAAAH/froI=",0)</f>
        <v>0</v>
      </c>
      <c r="EB50">
        <f>IF('Surface Coating'!H:H,"AAAAAH/froM=",0)</f>
        <v>0</v>
      </c>
      <c r="EC50">
        <f>IF('Surface Coating'!I:I,"AAAAAH/froQ=",0)</f>
        <v>0</v>
      </c>
      <c r="ED50">
        <f>IF('Surface Coating'!J:J,"AAAAAH/froU=",0)</f>
        <v>0</v>
      </c>
      <c r="EE50">
        <f>IF('Surface Coating'!K:K,"AAAAAH/froY=",0)</f>
        <v>0</v>
      </c>
      <c r="EF50">
        <f>IF('Surface Coating'!L:L,"AAAAAH/froc=",0)</f>
        <v>0</v>
      </c>
      <c r="EG50">
        <f>IF('Surface Coating'!M:M,"AAAAAH/frog=",0)</f>
        <v>0</v>
      </c>
      <c r="EH50">
        <f>IF('Surface Coating'!N:N,"AAAAAH/frok=",0)</f>
        <v>0</v>
      </c>
      <c r="EI50">
        <f>IF('Surface Coating'!O:O,"AAAAAH/froo=",0)</f>
        <v>0</v>
      </c>
      <c r="EJ50">
        <f>IF('Surface Coating'!P:P,"AAAAAH/fros=",0)</f>
        <v>0</v>
      </c>
      <c r="EK50">
        <f>IF('Surface Coating'!Q:Q,"AAAAAH/frow=",0)</f>
        <v>0</v>
      </c>
      <c r="EL50">
        <f>IF('Surface Coating'!R:R,"AAAAAH/fro0=",0)</f>
        <v>0</v>
      </c>
      <c r="EM50">
        <f>IF('Surface Coating'!S:S,"AAAAAH/fro4=",0)</f>
        <v>0</v>
      </c>
      <c r="EN50">
        <f>IF('Surface Coating'!T:T,"AAAAAH/fro8=",0)</f>
        <v>0</v>
      </c>
      <c r="EO50">
        <f>IF('Surface Coating'!U:U,"AAAAAH/frpA=",0)</f>
        <v>0</v>
      </c>
      <c r="EP50">
        <f>IF('Surface Coating'!V:V,"AAAAAH/frpE=",0)</f>
        <v>0</v>
      </c>
      <c r="EQ50">
        <f>IF('Surface Coating'!W:W,"AAAAAH/frpI=",0)</f>
        <v>0</v>
      </c>
      <c r="ER50">
        <f>IF('Surface Coating'!X:X,"AAAAAH/frpM=",0)</f>
        <v>0</v>
      </c>
      <c r="ES50">
        <f>IF('Surface Coating'!Y:Y,"AAAAAH/frpQ=",0)</f>
        <v>0</v>
      </c>
      <c r="ET50" t="e">
        <f>IF(#REF!,"AAAAAH/frpU=",0)</f>
        <v>#REF!</v>
      </c>
      <c r="EU50" t="e">
        <f>AND(#REF!,"AAAAAH/frpY=")</f>
        <v>#REF!</v>
      </c>
      <c r="EV50" t="e">
        <f>AND(#REF!,"AAAAAH/frpc=")</f>
        <v>#REF!</v>
      </c>
      <c r="EW50" t="e">
        <f>AND(#REF!,"AAAAAH/frpg=")</f>
        <v>#REF!</v>
      </c>
      <c r="EX50" t="e">
        <f>AND(#REF!,"AAAAAH/frpk=")</f>
        <v>#REF!</v>
      </c>
      <c r="EY50" t="e">
        <f>AND(#REF!,"AAAAAH/frpo=")</f>
        <v>#REF!</v>
      </c>
      <c r="EZ50" t="e">
        <f>AND(#REF!,"AAAAAH/frps=")</f>
        <v>#REF!</v>
      </c>
      <c r="FA50" t="e">
        <f>AND(#REF!,"AAAAAH/frpw=")</f>
        <v>#REF!</v>
      </c>
      <c r="FB50" t="e">
        <f>AND(#REF!,"AAAAAH/frp0=")</f>
        <v>#REF!</v>
      </c>
      <c r="FC50" t="e">
        <f>AND(#REF!,"AAAAAH/frp4=")</f>
        <v>#REF!</v>
      </c>
      <c r="FD50" t="e">
        <f>AND(#REF!,"AAAAAH/frp8=")</f>
        <v>#REF!</v>
      </c>
      <c r="FE50" t="e">
        <f>AND(#REF!,"AAAAAH/frqA=")</f>
        <v>#REF!</v>
      </c>
      <c r="FF50" t="e">
        <f>AND(#REF!,"AAAAAH/frqE=")</f>
        <v>#REF!</v>
      </c>
      <c r="FG50" t="e">
        <f>AND(#REF!,"AAAAAH/frqI=")</f>
        <v>#REF!</v>
      </c>
      <c r="FH50" t="e">
        <f>AND(#REF!,"AAAAAH/frqM=")</f>
        <v>#REF!</v>
      </c>
      <c r="FI50" t="e">
        <f>AND(#REF!,"AAAAAH/frqQ=")</f>
        <v>#REF!</v>
      </c>
      <c r="FJ50" t="e">
        <f>AND(#REF!,"AAAAAH/frqU=")</f>
        <v>#REF!</v>
      </c>
      <c r="FK50" t="e">
        <f>AND(#REF!,"AAAAAH/frqY=")</f>
        <v>#REF!</v>
      </c>
      <c r="FL50" t="e">
        <f>AND(#REF!,"AAAAAH/frqc=")</f>
        <v>#REF!</v>
      </c>
      <c r="FM50" t="e">
        <f>AND(#REF!,"AAAAAH/frqg=")</f>
        <v>#REF!</v>
      </c>
      <c r="FN50" t="e">
        <f>AND(#REF!,"AAAAAH/frqk=")</f>
        <v>#REF!</v>
      </c>
      <c r="FO50" t="e">
        <f>AND(#REF!,"AAAAAH/frqo=")</f>
        <v>#REF!</v>
      </c>
      <c r="FP50" t="e">
        <f>AND(#REF!,"AAAAAH/frqs=")</f>
        <v>#REF!</v>
      </c>
      <c r="FQ50" t="e">
        <f>AND(#REF!,"AAAAAH/frqw=")</f>
        <v>#REF!</v>
      </c>
      <c r="FR50" t="e">
        <f>AND(#REF!,"AAAAAH/frq0=")</f>
        <v>#REF!</v>
      </c>
      <c r="FS50" t="e">
        <f>AND(#REF!,"AAAAAH/frq4=")</f>
        <v>#REF!</v>
      </c>
      <c r="FT50" t="e">
        <f>AND(#REF!,"AAAAAH/frq8=")</f>
        <v>#REF!</v>
      </c>
      <c r="FU50" t="e">
        <f>AND(#REF!,"AAAAAH/frrA=")</f>
        <v>#REF!</v>
      </c>
      <c r="FV50" t="e">
        <f>AND(#REF!,"AAAAAH/frrE=")</f>
        <v>#REF!</v>
      </c>
      <c r="FW50" t="e">
        <f>AND(#REF!,"AAAAAH/frrI=")</f>
        <v>#REF!</v>
      </c>
      <c r="FX50" t="e">
        <f>AND(#REF!,"AAAAAH/frrM=")</f>
        <v>#REF!</v>
      </c>
      <c r="FY50" t="e">
        <f>AND(#REF!,"AAAAAH/frrQ=")</f>
        <v>#REF!</v>
      </c>
      <c r="FZ50" t="e">
        <f>AND(#REF!,"AAAAAH/frrU=")</f>
        <v>#REF!</v>
      </c>
      <c r="GA50" t="e">
        <f>AND(#REF!,"AAAAAH/frrY=")</f>
        <v>#REF!</v>
      </c>
      <c r="GB50" t="e">
        <f>AND(#REF!,"AAAAAH/frrc=")</f>
        <v>#REF!</v>
      </c>
      <c r="GC50" t="e">
        <f>AND(#REF!,"AAAAAH/frrg=")</f>
        <v>#REF!</v>
      </c>
      <c r="GD50" t="e">
        <f>AND(#REF!,"AAAAAH/frrk=")</f>
        <v>#REF!</v>
      </c>
      <c r="GE50" t="e">
        <f>AND(#REF!,"AAAAAH/frro=")</f>
        <v>#REF!</v>
      </c>
      <c r="GF50" t="e">
        <f>AND(#REF!,"AAAAAH/frrs=")</f>
        <v>#REF!</v>
      </c>
      <c r="GG50" t="e">
        <f>AND(#REF!,"AAAAAH/frrw=")</f>
        <v>#REF!</v>
      </c>
      <c r="GH50" t="e">
        <f>AND(#REF!,"AAAAAH/frr0=")</f>
        <v>#REF!</v>
      </c>
      <c r="GI50" t="e">
        <f>AND(#REF!,"AAAAAH/frr4=")</f>
        <v>#REF!</v>
      </c>
      <c r="GJ50" t="e">
        <f>IF(#REF!,"AAAAAH/frr8=",0)</f>
        <v>#REF!</v>
      </c>
      <c r="GK50" t="e">
        <f>AND(#REF!,"AAAAAH/frsA=")</f>
        <v>#REF!</v>
      </c>
      <c r="GL50" t="e">
        <f>AND(#REF!,"AAAAAH/frsE=")</f>
        <v>#REF!</v>
      </c>
      <c r="GM50" t="e">
        <f>AND(#REF!,"AAAAAH/frsI=")</f>
        <v>#REF!</v>
      </c>
      <c r="GN50" t="e">
        <f>AND(#REF!,"AAAAAH/frsM=")</f>
        <v>#REF!</v>
      </c>
      <c r="GO50" t="e">
        <f>AND(#REF!,"AAAAAH/frsQ=")</f>
        <v>#REF!</v>
      </c>
      <c r="GP50" t="e">
        <f>AND(#REF!,"AAAAAH/frsU=")</f>
        <v>#REF!</v>
      </c>
      <c r="GQ50" t="e">
        <f>AND(#REF!,"AAAAAH/frsY=")</f>
        <v>#REF!</v>
      </c>
      <c r="GR50" t="e">
        <f>AND(#REF!,"AAAAAH/frsc=")</f>
        <v>#REF!</v>
      </c>
      <c r="GS50" t="e">
        <f>AND(#REF!,"AAAAAH/frsg=")</f>
        <v>#REF!</v>
      </c>
      <c r="GT50" t="e">
        <f>AND(#REF!,"AAAAAH/frsk=")</f>
        <v>#REF!</v>
      </c>
      <c r="GU50" t="e">
        <f>AND(#REF!,"AAAAAH/frso=")</f>
        <v>#REF!</v>
      </c>
      <c r="GV50" t="e">
        <f>AND(#REF!,"AAAAAH/frss=")</f>
        <v>#REF!</v>
      </c>
      <c r="GW50" t="e">
        <f>AND(#REF!,"AAAAAH/frsw=")</f>
        <v>#REF!</v>
      </c>
      <c r="GX50" t="e">
        <f>AND(#REF!,"AAAAAH/frs0=")</f>
        <v>#REF!</v>
      </c>
      <c r="GY50" t="e">
        <f>AND(#REF!,"AAAAAH/frs4=")</f>
        <v>#REF!</v>
      </c>
      <c r="GZ50" t="e">
        <f>AND(#REF!,"AAAAAH/frs8=")</f>
        <v>#REF!</v>
      </c>
      <c r="HA50" t="e">
        <f>AND(#REF!,"AAAAAH/frtA=")</f>
        <v>#REF!</v>
      </c>
      <c r="HB50" t="e">
        <f>AND(#REF!,"AAAAAH/frtE=")</f>
        <v>#REF!</v>
      </c>
      <c r="HC50" t="e">
        <f>AND(#REF!,"AAAAAH/frtI=")</f>
        <v>#REF!</v>
      </c>
      <c r="HD50" t="e">
        <f>AND(#REF!,"AAAAAH/frtM=")</f>
        <v>#REF!</v>
      </c>
      <c r="HE50" t="e">
        <f>AND(#REF!,"AAAAAH/frtQ=")</f>
        <v>#REF!</v>
      </c>
      <c r="HF50" t="e">
        <f>AND(#REF!,"AAAAAH/frtU=")</f>
        <v>#REF!</v>
      </c>
      <c r="HG50" t="e">
        <f>AND(#REF!,"AAAAAH/frtY=")</f>
        <v>#REF!</v>
      </c>
      <c r="HH50" t="e">
        <f>AND(#REF!,"AAAAAH/frtc=")</f>
        <v>#REF!</v>
      </c>
      <c r="HI50" t="e">
        <f>AND(#REF!,"AAAAAH/frtg=")</f>
        <v>#REF!</v>
      </c>
      <c r="HJ50" t="e">
        <f>AND(#REF!,"AAAAAH/frtk=")</f>
        <v>#REF!</v>
      </c>
      <c r="HK50" t="e">
        <f>AND(#REF!,"AAAAAH/frto=")</f>
        <v>#REF!</v>
      </c>
      <c r="HL50" t="e">
        <f>AND(#REF!,"AAAAAH/frts=")</f>
        <v>#REF!</v>
      </c>
      <c r="HM50" t="e">
        <f>AND(#REF!,"AAAAAH/frtw=")</f>
        <v>#REF!</v>
      </c>
      <c r="HN50" t="e">
        <f>AND(#REF!,"AAAAAH/frt0=")</f>
        <v>#REF!</v>
      </c>
      <c r="HO50" t="e">
        <f>AND(#REF!,"AAAAAH/frt4=")</f>
        <v>#REF!</v>
      </c>
      <c r="HP50" t="e">
        <f>AND(#REF!,"AAAAAH/frt8=")</f>
        <v>#REF!</v>
      </c>
      <c r="HQ50" t="e">
        <f>AND(#REF!,"AAAAAH/fruA=")</f>
        <v>#REF!</v>
      </c>
      <c r="HR50" t="e">
        <f>AND(#REF!,"AAAAAH/fruE=")</f>
        <v>#REF!</v>
      </c>
      <c r="HS50" t="e">
        <f>AND(#REF!,"AAAAAH/fruI=")</f>
        <v>#REF!</v>
      </c>
      <c r="HT50" t="e">
        <f>AND(#REF!,"AAAAAH/fruM=")</f>
        <v>#REF!</v>
      </c>
      <c r="HU50" t="e">
        <f>AND(#REF!,"AAAAAH/fruQ=")</f>
        <v>#REF!</v>
      </c>
      <c r="HV50" t="e">
        <f>AND(#REF!,"AAAAAH/fruU=")</f>
        <v>#REF!</v>
      </c>
      <c r="HW50" t="e">
        <f>AND(#REF!,"AAAAAH/fruY=")</f>
        <v>#REF!</v>
      </c>
      <c r="HX50" t="e">
        <f>AND(#REF!,"AAAAAH/fruc=")</f>
        <v>#REF!</v>
      </c>
      <c r="HY50" t="e">
        <f>AND(#REF!,"AAAAAH/frug=")</f>
        <v>#REF!</v>
      </c>
      <c r="HZ50" t="e">
        <f>IF(#REF!,"AAAAAH/fruk=",0)</f>
        <v>#REF!</v>
      </c>
      <c r="IA50" t="e">
        <f>AND(#REF!,"AAAAAH/fruo=")</f>
        <v>#REF!</v>
      </c>
      <c r="IB50" t="e">
        <f>AND(#REF!,"AAAAAH/frus=")</f>
        <v>#REF!</v>
      </c>
      <c r="IC50" t="e">
        <f>AND(#REF!,"AAAAAH/fruw=")</f>
        <v>#REF!</v>
      </c>
      <c r="ID50" t="e">
        <f>AND(#REF!,"AAAAAH/fru0=")</f>
        <v>#REF!</v>
      </c>
      <c r="IE50" t="e">
        <f>AND(#REF!,"AAAAAH/fru4=")</f>
        <v>#REF!</v>
      </c>
      <c r="IF50" t="e">
        <f>AND(#REF!,"AAAAAH/fru8=")</f>
        <v>#REF!</v>
      </c>
      <c r="IG50" t="e">
        <f>AND(#REF!,"AAAAAH/frvA=")</f>
        <v>#REF!</v>
      </c>
      <c r="IH50" t="e">
        <f>AND(#REF!,"AAAAAH/frvE=")</f>
        <v>#REF!</v>
      </c>
      <c r="II50" t="e">
        <f>AND(#REF!,"AAAAAH/frvI=")</f>
        <v>#REF!</v>
      </c>
      <c r="IJ50" t="e">
        <f>AND(#REF!,"AAAAAH/frvM=")</f>
        <v>#REF!</v>
      </c>
      <c r="IK50" t="e">
        <f>AND(#REF!,"AAAAAH/frvQ=")</f>
        <v>#REF!</v>
      </c>
      <c r="IL50" t="e">
        <f>AND(#REF!,"AAAAAH/frvU=")</f>
        <v>#REF!</v>
      </c>
      <c r="IM50" t="e">
        <f>AND(#REF!,"AAAAAH/frvY=")</f>
        <v>#REF!</v>
      </c>
      <c r="IN50" t="e">
        <f>AND(#REF!,"AAAAAH/frvc=")</f>
        <v>#REF!</v>
      </c>
      <c r="IO50" t="e">
        <f>AND(#REF!,"AAAAAH/frvg=")</f>
        <v>#REF!</v>
      </c>
      <c r="IP50" t="e">
        <f>AND(#REF!,"AAAAAH/frvk=")</f>
        <v>#REF!</v>
      </c>
      <c r="IQ50" t="e">
        <f>AND(#REF!,"AAAAAH/frvo=")</f>
        <v>#REF!</v>
      </c>
      <c r="IR50" t="e">
        <f>AND(#REF!,"AAAAAH/frvs=")</f>
        <v>#REF!</v>
      </c>
      <c r="IS50" t="e">
        <f>AND(#REF!,"AAAAAH/frvw=")</f>
        <v>#REF!</v>
      </c>
      <c r="IT50" t="e">
        <f>AND(#REF!,"AAAAAH/frv0=")</f>
        <v>#REF!</v>
      </c>
      <c r="IU50" t="e">
        <f>AND(#REF!,"AAAAAH/frv4=")</f>
        <v>#REF!</v>
      </c>
      <c r="IV50" t="e">
        <f>AND(#REF!,"AAAAAH/frv8=")</f>
        <v>#REF!</v>
      </c>
    </row>
    <row r="51" spans="1:256">
      <c r="A51" t="e">
        <f>AND(#REF!,"AAAAAHzmtwA=")</f>
        <v>#REF!</v>
      </c>
      <c r="B51" t="e">
        <f>AND(#REF!,"AAAAAHzmtwE=")</f>
        <v>#REF!</v>
      </c>
      <c r="C51" t="e">
        <f>AND(#REF!,"AAAAAHzmtwI=")</f>
        <v>#REF!</v>
      </c>
      <c r="D51" t="e">
        <f>AND(#REF!,"AAAAAHzmtwM=")</f>
        <v>#REF!</v>
      </c>
      <c r="E51" t="e">
        <f>AND(#REF!,"AAAAAHzmtwQ=")</f>
        <v>#REF!</v>
      </c>
      <c r="F51" t="e">
        <f>AND(#REF!,"AAAAAHzmtwU=")</f>
        <v>#REF!</v>
      </c>
      <c r="G51" t="e">
        <f>AND(#REF!,"AAAAAHzmtwY=")</f>
        <v>#REF!</v>
      </c>
      <c r="H51" t="e">
        <f>AND(#REF!,"AAAAAHzmtwc=")</f>
        <v>#REF!</v>
      </c>
      <c r="I51" t="e">
        <f>AND(#REF!,"AAAAAHzmtwg=")</f>
        <v>#REF!</v>
      </c>
      <c r="J51" t="e">
        <f>AND(#REF!,"AAAAAHzmtwk=")</f>
        <v>#REF!</v>
      </c>
      <c r="K51" t="e">
        <f>AND(#REF!,"AAAAAHzmtwo=")</f>
        <v>#REF!</v>
      </c>
      <c r="L51" t="e">
        <f>AND(#REF!,"AAAAAHzmtws=")</f>
        <v>#REF!</v>
      </c>
      <c r="M51" t="e">
        <f>AND(#REF!,"AAAAAHzmtww=")</f>
        <v>#REF!</v>
      </c>
      <c r="N51" t="e">
        <f>AND(#REF!,"AAAAAHzmtw0=")</f>
        <v>#REF!</v>
      </c>
      <c r="O51" t="e">
        <f>AND(#REF!,"AAAAAHzmtw4=")</f>
        <v>#REF!</v>
      </c>
      <c r="P51" t="e">
        <f>AND(#REF!,"AAAAAHzmtw8=")</f>
        <v>#REF!</v>
      </c>
      <c r="Q51" t="e">
        <f>AND(#REF!,"AAAAAHzmtxA=")</f>
        <v>#REF!</v>
      </c>
      <c r="R51" t="e">
        <f>AND(#REF!,"AAAAAHzmtxE=")</f>
        <v>#REF!</v>
      </c>
      <c r="S51" t="e">
        <f>AND(#REF!,"AAAAAHzmtxI=")</f>
        <v>#REF!</v>
      </c>
      <c r="T51" t="e">
        <f>IF(#REF!,"AAAAAHzmtxM=",0)</f>
        <v>#REF!</v>
      </c>
      <c r="U51" t="e">
        <f>AND(#REF!,"AAAAAHzmtxQ=")</f>
        <v>#REF!</v>
      </c>
      <c r="V51" t="e">
        <f>AND(#REF!,"AAAAAHzmtxU=")</f>
        <v>#REF!</v>
      </c>
      <c r="W51" t="e">
        <f>AND(#REF!,"AAAAAHzmtxY=")</f>
        <v>#REF!</v>
      </c>
      <c r="X51" t="e">
        <f>AND(#REF!,"AAAAAHzmtxc=")</f>
        <v>#REF!</v>
      </c>
      <c r="Y51" t="e">
        <f>AND(#REF!,"AAAAAHzmtxg=")</f>
        <v>#REF!</v>
      </c>
      <c r="Z51" t="e">
        <f>AND(#REF!,"AAAAAHzmtxk=")</f>
        <v>#REF!</v>
      </c>
      <c r="AA51" t="e">
        <f>AND(#REF!,"AAAAAHzmtxo=")</f>
        <v>#REF!</v>
      </c>
      <c r="AB51" t="e">
        <f>AND(#REF!,"AAAAAHzmtxs=")</f>
        <v>#REF!</v>
      </c>
      <c r="AC51" t="e">
        <f>AND(#REF!,"AAAAAHzmtxw=")</f>
        <v>#REF!</v>
      </c>
      <c r="AD51" t="e">
        <f>AND(#REF!,"AAAAAHzmtx0=")</f>
        <v>#REF!</v>
      </c>
      <c r="AE51" t="e">
        <f>AND(#REF!,"AAAAAHzmtx4=")</f>
        <v>#REF!</v>
      </c>
      <c r="AF51" t="e">
        <f>AND(#REF!,"AAAAAHzmtx8=")</f>
        <v>#REF!</v>
      </c>
      <c r="AG51" t="e">
        <f>AND(#REF!,"AAAAAHzmtyA=")</f>
        <v>#REF!</v>
      </c>
      <c r="AH51" t="e">
        <f>AND(#REF!,"AAAAAHzmtyE=")</f>
        <v>#REF!</v>
      </c>
      <c r="AI51" t="e">
        <f>AND(#REF!,"AAAAAHzmtyI=")</f>
        <v>#REF!</v>
      </c>
      <c r="AJ51" t="e">
        <f>AND(#REF!,"AAAAAHzmtyM=")</f>
        <v>#REF!</v>
      </c>
      <c r="AK51" t="e">
        <f>AND(#REF!,"AAAAAHzmtyQ=")</f>
        <v>#REF!</v>
      </c>
      <c r="AL51" t="e">
        <f>AND(#REF!,"AAAAAHzmtyU=")</f>
        <v>#REF!</v>
      </c>
      <c r="AM51" t="e">
        <f>AND(#REF!,"AAAAAHzmtyY=")</f>
        <v>#REF!</v>
      </c>
      <c r="AN51" t="e">
        <f>AND(#REF!,"AAAAAHzmtyc=")</f>
        <v>#REF!</v>
      </c>
      <c r="AO51" t="e">
        <f>AND(#REF!,"AAAAAHzmtyg=")</f>
        <v>#REF!</v>
      </c>
      <c r="AP51" t="e">
        <f>AND(#REF!,"AAAAAHzmtyk=")</f>
        <v>#REF!</v>
      </c>
      <c r="AQ51" t="e">
        <f>AND(#REF!,"AAAAAHzmtyo=")</f>
        <v>#REF!</v>
      </c>
      <c r="AR51" t="e">
        <f>AND(#REF!,"AAAAAHzmtys=")</f>
        <v>#REF!</v>
      </c>
      <c r="AS51" t="e">
        <f>AND(#REF!,"AAAAAHzmtyw=")</f>
        <v>#REF!</v>
      </c>
      <c r="AT51" t="e">
        <f>AND(#REF!,"AAAAAHzmty0=")</f>
        <v>#REF!</v>
      </c>
      <c r="AU51" t="e">
        <f>AND(#REF!,"AAAAAHzmty4=")</f>
        <v>#REF!</v>
      </c>
      <c r="AV51" t="e">
        <f>AND(#REF!,"AAAAAHzmty8=")</f>
        <v>#REF!</v>
      </c>
      <c r="AW51" t="e">
        <f>AND(#REF!,"AAAAAHzmtzA=")</f>
        <v>#REF!</v>
      </c>
      <c r="AX51" t="e">
        <f>AND(#REF!,"AAAAAHzmtzE=")</f>
        <v>#REF!</v>
      </c>
      <c r="AY51" t="e">
        <f>AND(#REF!,"AAAAAHzmtzI=")</f>
        <v>#REF!</v>
      </c>
      <c r="AZ51" t="e">
        <f>AND(#REF!,"AAAAAHzmtzM=")</f>
        <v>#REF!</v>
      </c>
      <c r="BA51" t="e">
        <f>AND(#REF!,"AAAAAHzmtzQ=")</f>
        <v>#REF!</v>
      </c>
      <c r="BB51" t="e">
        <f>AND(#REF!,"AAAAAHzmtzU=")</f>
        <v>#REF!</v>
      </c>
      <c r="BC51" t="e">
        <f>AND(#REF!,"AAAAAHzmtzY=")</f>
        <v>#REF!</v>
      </c>
      <c r="BD51" t="e">
        <f>AND(#REF!,"AAAAAHzmtzc=")</f>
        <v>#REF!</v>
      </c>
      <c r="BE51" t="e">
        <f>AND(#REF!,"AAAAAHzmtzg=")</f>
        <v>#REF!</v>
      </c>
      <c r="BF51" t="e">
        <f>AND(#REF!,"AAAAAHzmtzk=")</f>
        <v>#REF!</v>
      </c>
      <c r="BG51" t="e">
        <f>AND(#REF!,"AAAAAHzmtzo=")</f>
        <v>#REF!</v>
      </c>
      <c r="BH51" t="e">
        <f>AND(#REF!,"AAAAAHzmtzs=")</f>
        <v>#REF!</v>
      </c>
      <c r="BI51" t="e">
        <f>AND(#REF!,"AAAAAHzmtzw=")</f>
        <v>#REF!</v>
      </c>
      <c r="BJ51" t="e">
        <f>IF(#REF!,"AAAAAHzmtz0=",0)</f>
        <v>#REF!</v>
      </c>
      <c r="BK51" t="e">
        <f>AND(#REF!,"AAAAAHzmtz4=")</f>
        <v>#REF!</v>
      </c>
      <c r="BL51" t="e">
        <f>AND(#REF!,"AAAAAHzmtz8=")</f>
        <v>#REF!</v>
      </c>
      <c r="BM51" t="e">
        <f>AND(#REF!,"AAAAAHzmt0A=")</f>
        <v>#REF!</v>
      </c>
      <c r="BN51" t="e">
        <f>AND(#REF!,"AAAAAHzmt0E=")</f>
        <v>#REF!</v>
      </c>
      <c r="BO51" t="e">
        <f>AND(#REF!,"AAAAAHzmt0I=")</f>
        <v>#REF!</v>
      </c>
      <c r="BP51" t="e">
        <f>AND(#REF!,"AAAAAHzmt0M=")</f>
        <v>#REF!</v>
      </c>
      <c r="BQ51" t="e">
        <f>AND(#REF!,"AAAAAHzmt0Q=")</f>
        <v>#REF!</v>
      </c>
      <c r="BR51" t="e">
        <f>AND(#REF!,"AAAAAHzmt0U=")</f>
        <v>#REF!</v>
      </c>
      <c r="BS51" t="e">
        <f>AND(#REF!,"AAAAAHzmt0Y=")</f>
        <v>#REF!</v>
      </c>
      <c r="BT51" t="e">
        <f>AND(#REF!,"AAAAAHzmt0c=")</f>
        <v>#REF!</v>
      </c>
      <c r="BU51" t="e">
        <f>AND(#REF!,"AAAAAHzmt0g=")</f>
        <v>#REF!</v>
      </c>
      <c r="BV51" t="e">
        <f>AND(#REF!,"AAAAAHzmt0k=")</f>
        <v>#REF!</v>
      </c>
      <c r="BW51" t="e">
        <f>AND(#REF!,"AAAAAHzmt0o=")</f>
        <v>#REF!</v>
      </c>
      <c r="BX51" t="e">
        <f>AND(#REF!,"AAAAAHzmt0s=")</f>
        <v>#REF!</v>
      </c>
      <c r="BY51" t="e">
        <f>AND(#REF!,"AAAAAHzmt0w=")</f>
        <v>#REF!</v>
      </c>
      <c r="BZ51" t="e">
        <f>AND(#REF!,"AAAAAHzmt00=")</f>
        <v>#REF!</v>
      </c>
      <c r="CA51" t="e">
        <f>AND(#REF!,"AAAAAHzmt04=")</f>
        <v>#REF!</v>
      </c>
      <c r="CB51" t="e">
        <f>AND(#REF!,"AAAAAHzmt08=")</f>
        <v>#REF!</v>
      </c>
      <c r="CC51" t="e">
        <f>AND(#REF!,"AAAAAHzmt1A=")</f>
        <v>#REF!</v>
      </c>
      <c r="CD51" t="e">
        <f>AND(#REF!,"AAAAAHzmt1E=")</f>
        <v>#REF!</v>
      </c>
      <c r="CE51" t="e">
        <f>AND(#REF!,"AAAAAHzmt1I=")</f>
        <v>#REF!</v>
      </c>
      <c r="CF51" t="e">
        <f>AND(#REF!,"AAAAAHzmt1M=")</f>
        <v>#REF!</v>
      </c>
      <c r="CG51" t="e">
        <f>AND(#REF!,"AAAAAHzmt1Q=")</f>
        <v>#REF!</v>
      </c>
      <c r="CH51" t="e">
        <f>AND(#REF!,"AAAAAHzmt1U=")</f>
        <v>#REF!</v>
      </c>
      <c r="CI51" t="e">
        <f>AND(#REF!,"AAAAAHzmt1Y=")</f>
        <v>#REF!</v>
      </c>
      <c r="CJ51" t="e">
        <f>AND(#REF!,"AAAAAHzmt1c=")</f>
        <v>#REF!</v>
      </c>
      <c r="CK51" t="e">
        <f>AND(#REF!,"AAAAAHzmt1g=")</f>
        <v>#REF!</v>
      </c>
      <c r="CL51" t="e">
        <f>AND(#REF!,"AAAAAHzmt1k=")</f>
        <v>#REF!</v>
      </c>
      <c r="CM51" t="e">
        <f>AND(#REF!,"AAAAAHzmt1o=")</f>
        <v>#REF!</v>
      </c>
      <c r="CN51" t="e">
        <f>AND(#REF!,"AAAAAHzmt1s=")</f>
        <v>#REF!</v>
      </c>
      <c r="CO51" t="e">
        <f>AND(#REF!,"AAAAAHzmt1w=")</f>
        <v>#REF!</v>
      </c>
      <c r="CP51" t="e">
        <f>AND(#REF!,"AAAAAHzmt10=")</f>
        <v>#REF!</v>
      </c>
      <c r="CQ51" t="e">
        <f>AND(#REF!,"AAAAAHzmt14=")</f>
        <v>#REF!</v>
      </c>
      <c r="CR51" t="e">
        <f>AND(#REF!,"AAAAAHzmt18=")</f>
        <v>#REF!</v>
      </c>
      <c r="CS51" t="e">
        <f>AND(#REF!,"AAAAAHzmt2A=")</f>
        <v>#REF!</v>
      </c>
      <c r="CT51" t="e">
        <f>AND(#REF!,"AAAAAHzmt2E=")</f>
        <v>#REF!</v>
      </c>
      <c r="CU51" t="e">
        <f>AND(#REF!,"AAAAAHzmt2I=")</f>
        <v>#REF!</v>
      </c>
      <c r="CV51" t="e">
        <f>AND(#REF!,"AAAAAHzmt2M=")</f>
        <v>#REF!</v>
      </c>
      <c r="CW51" t="e">
        <f>AND(#REF!,"AAAAAHzmt2Q=")</f>
        <v>#REF!</v>
      </c>
      <c r="CX51" t="e">
        <f>AND(#REF!,"AAAAAHzmt2U=")</f>
        <v>#REF!</v>
      </c>
      <c r="CY51" t="e">
        <f>AND(#REF!,"AAAAAHzmt2Y=")</f>
        <v>#REF!</v>
      </c>
      <c r="CZ51" t="e">
        <f>IF(#REF!,"AAAAAHzmt2c=",0)</f>
        <v>#REF!</v>
      </c>
      <c r="DA51" t="e">
        <f>AND(#REF!,"AAAAAHzmt2g=")</f>
        <v>#REF!</v>
      </c>
      <c r="DB51" t="e">
        <f>AND(#REF!,"AAAAAHzmt2k=")</f>
        <v>#REF!</v>
      </c>
      <c r="DC51" t="e">
        <f>AND(#REF!,"AAAAAHzmt2o=")</f>
        <v>#REF!</v>
      </c>
      <c r="DD51" t="e">
        <f>AND(#REF!,"AAAAAHzmt2s=")</f>
        <v>#REF!</v>
      </c>
      <c r="DE51" t="e">
        <f>AND(#REF!,"AAAAAHzmt2w=")</f>
        <v>#REF!</v>
      </c>
      <c r="DF51" t="e">
        <f>AND(#REF!,"AAAAAHzmt20=")</f>
        <v>#REF!</v>
      </c>
      <c r="DG51" t="e">
        <f>AND(#REF!,"AAAAAHzmt24=")</f>
        <v>#REF!</v>
      </c>
      <c r="DH51" t="e">
        <f>AND(#REF!,"AAAAAHzmt28=")</f>
        <v>#REF!</v>
      </c>
      <c r="DI51" t="e">
        <f>AND(#REF!,"AAAAAHzmt3A=")</f>
        <v>#REF!</v>
      </c>
      <c r="DJ51" t="e">
        <f>AND(#REF!,"AAAAAHzmt3E=")</f>
        <v>#REF!</v>
      </c>
      <c r="DK51" t="e">
        <f>AND(#REF!,"AAAAAHzmt3I=")</f>
        <v>#REF!</v>
      </c>
      <c r="DL51" t="e">
        <f>AND(#REF!,"AAAAAHzmt3M=")</f>
        <v>#REF!</v>
      </c>
      <c r="DM51" t="e">
        <f>AND(#REF!,"AAAAAHzmt3Q=")</f>
        <v>#REF!</v>
      </c>
      <c r="DN51" t="e">
        <f>AND(#REF!,"AAAAAHzmt3U=")</f>
        <v>#REF!</v>
      </c>
      <c r="DO51" t="e">
        <f>AND(#REF!,"AAAAAHzmt3Y=")</f>
        <v>#REF!</v>
      </c>
      <c r="DP51" t="e">
        <f>AND(#REF!,"AAAAAHzmt3c=")</f>
        <v>#REF!</v>
      </c>
      <c r="DQ51" t="e">
        <f>AND(#REF!,"AAAAAHzmt3g=")</f>
        <v>#REF!</v>
      </c>
      <c r="DR51" t="e">
        <f>AND(#REF!,"AAAAAHzmt3k=")</f>
        <v>#REF!</v>
      </c>
      <c r="DS51" t="e">
        <f>AND(#REF!,"AAAAAHzmt3o=")</f>
        <v>#REF!</v>
      </c>
      <c r="DT51" t="e">
        <f>AND(#REF!,"AAAAAHzmt3s=")</f>
        <v>#REF!</v>
      </c>
      <c r="DU51" t="e">
        <f>AND(#REF!,"AAAAAHzmt3w=")</f>
        <v>#REF!</v>
      </c>
      <c r="DV51" t="e">
        <f>AND(#REF!,"AAAAAHzmt30=")</f>
        <v>#REF!</v>
      </c>
      <c r="DW51" t="e">
        <f>AND(#REF!,"AAAAAHzmt34=")</f>
        <v>#REF!</v>
      </c>
      <c r="DX51" t="e">
        <f>AND(#REF!,"AAAAAHzmt38=")</f>
        <v>#REF!</v>
      </c>
      <c r="DY51" t="e">
        <f>AND(#REF!,"AAAAAHzmt4A=")</f>
        <v>#REF!</v>
      </c>
      <c r="DZ51" t="e">
        <f>AND(#REF!,"AAAAAHzmt4E=")</f>
        <v>#REF!</v>
      </c>
      <c r="EA51" t="e">
        <f>AND(#REF!,"AAAAAHzmt4I=")</f>
        <v>#REF!</v>
      </c>
      <c r="EB51" t="e">
        <f>AND(#REF!,"AAAAAHzmt4M=")</f>
        <v>#REF!</v>
      </c>
      <c r="EC51" t="e">
        <f>AND(#REF!,"AAAAAHzmt4Q=")</f>
        <v>#REF!</v>
      </c>
      <c r="ED51" t="e">
        <f>AND(#REF!,"AAAAAHzmt4U=")</f>
        <v>#REF!</v>
      </c>
      <c r="EE51" t="e">
        <f>AND(#REF!,"AAAAAHzmt4Y=")</f>
        <v>#REF!</v>
      </c>
      <c r="EF51" t="e">
        <f>AND(#REF!,"AAAAAHzmt4c=")</f>
        <v>#REF!</v>
      </c>
      <c r="EG51" t="e">
        <f>AND(#REF!,"AAAAAHzmt4g=")</f>
        <v>#REF!</v>
      </c>
      <c r="EH51" t="e">
        <f>AND(#REF!,"AAAAAHzmt4k=")</f>
        <v>#REF!</v>
      </c>
      <c r="EI51" t="e">
        <f>AND(#REF!,"AAAAAHzmt4o=")</f>
        <v>#REF!</v>
      </c>
      <c r="EJ51" t="e">
        <f>AND(#REF!,"AAAAAHzmt4s=")</f>
        <v>#REF!</v>
      </c>
      <c r="EK51" t="e">
        <f>AND(#REF!,"AAAAAHzmt4w=")</f>
        <v>#REF!</v>
      </c>
      <c r="EL51" t="e">
        <f>AND(#REF!,"AAAAAHzmt40=")</f>
        <v>#REF!</v>
      </c>
      <c r="EM51" t="e">
        <f>AND(#REF!,"AAAAAHzmt44=")</f>
        <v>#REF!</v>
      </c>
      <c r="EN51" t="e">
        <f>AND(#REF!,"AAAAAHzmt48=")</f>
        <v>#REF!</v>
      </c>
      <c r="EO51" t="e">
        <f>AND(#REF!,"AAAAAHzmt5A=")</f>
        <v>#REF!</v>
      </c>
      <c r="EP51" t="e">
        <f>IF(#REF!,"AAAAAHzmt5E=",0)</f>
        <v>#REF!</v>
      </c>
      <c r="EQ51" t="e">
        <f>AND(#REF!,"AAAAAHzmt5I=")</f>
        <v>#REF!</v>
      </c>
      <c r="ER51" t="e">
        <f>AND(#REF!,"AAAAAHzmt5M=")</f>
        <v>#REF!</v>
      </c>
      <c r="ES51" t="e">
        <f>AND(#REF!,"AAAAAHzmt5Q=")</f>
        <v>#REF!</v>
      </c>
      <c r="ET51" t="e">
        <f>AND(#REF!,"AAAAAHzmt5U=")</f>
        <v>#REF!</v>
      </c>
      <c r="EU51" t="e">
        <f>AND(#REF!,"AAAAAHzmt5Y=")</f>
        <v>#REF!</v>
      </c>
      <c r="EV51" t="e">
        <f>AND(#REF!,"AAAAAHzmt5c=")</f>
        <v>#REF!</v>
      </c>
      <c r="EW51" t="e">
        <f>AND(#REF!,"AAAAAHzmt5g=")</f>
        <v>#REF!</v>
      </c>
      <c r="EX51" t="e">
        <f>AND(#REF!,"AAAAAHzmt5k=")</f>
        <v>#REF!</v>
      </c>
      <c r="EY51" t="e">
        <f>AND(#REF!,"AAAAAHzmt5o=")</f>
        <v>#REF!</v>
      </c>
      <c r="EZ51" t="e">
        <f>AND(#REF!,"AAAAAHzmt5s=")</f>
        <v>#REF!</v>
      </c>
      <c r="FA51" t="e">
        <f>AND(#REF!,"AAAAAHzmt5w=")</f>
        <v>#REF!</v>
      </c>
      <c r="FB51" t="e">
        <f>AND(#REF!,"AAAAAHzmt50=")</f>
        <v>#REF!</v>
      </c>
      <c r="FC51" t="e">
        <f>AND(#REF!,"AAAAAHzmt54=")</f>
        <v>#REF!</v>
      </c>
      <c r="FD51" t="e">
        <f>AND(#REF!,"AAAAAHzmt58=")</f>
        <v>#REF!</v>
      </c>
      <c r="FE51" t="e">
        <f>AND(#REF!,"AAAAAHzmt6A=")</f>
        <v>#REF!</v>
      </c>
      <c r="FF51" t="e">
        <f>AND(#REF!,"AAAAAHzmt6E=")</f>
        <v>#REF!</v>
      </c>
      <c r="FG51" t="e">
        <f>AND(#REF!,"AAAAAHzmt6I=")</f>
        <v>#REF!</v>
      </c>
      <c r="FH51" t="e">
        <f>AND(#REF!,"AAAAAHzmt6M=")</f>
        <v>#REF!</v>
      </c>
      <c r="FI51" t="e">
        <f>AND(#REF!,"AAAAAHzmt6Q=")</f>
        <v>#REF!</v>
      </c>
      <c r="FJ51" t="e">
        <f>AND(#REF!,"AAAAAHzmt6U=")</f>
        <v>#REF!</v>
      </c>
      <c r="FK51" t="e">
        <f>AND(#REF!,"AAAAAHzmt6Y=")</f>
        <v>#REF!</v>
      </c>
      <c r="FL51" t="e">
        <f>AND(#REF!,"AAAAAHzmt6c=")</f>
        <v>#REF!</v>
      </c>
      <c r="FM51" t="e">
        <f>AND(#REF!,"AAAAAHzmt6g=")</f>
        <v>#REF!</v>
      </c>
      <c r="FN51" t="e">
        <f>AND(#REF!,"AAAAAHzmt6k=")</f>
        <v>#REF!</v>
      </c>
      <c r="FO51" t="e">
        <f>AND(#REF!,"AAAAAHzmt6o=")</f>
        <v>#REF!</v>
      </c>
      <c r="FP51" t="e">
        <f>AND(#REF!,"AAAAAHzmt6s=")</f>
        <v>#REF!</v>
      </c>
      <c r="FQ51" t="e">
        <f>AND(#REF!,"AAAAAHzmt6w=")</f>
        <v>#REF!</v>
      </c>
      <c r="FR51" t="e">
        <f>AND(#REF!,"AAAAAHzmt60=")</f>
        <v>#REF!</v>
      </c>
      <c r="FS51" t="e">
        <f>AND(#REF!,"AAAAAHzmt64=")</f>
        <v>#REF!</v>
      </c>
      <c r="FT51" t="e">
        <f>AND(#REF!,"AAAAAHzmt68=")</f>
        <v>#REF!</v>
      </c>
      <c r="FU51" t="e">
        <f>AND(#REF!,"AAAAAHzmt7A=")</f>
        <v>#REF!</v>
      </c>
      <c r="FV51" t="e">
        <f>AND(#REF!,"AAAAAHzmt7E=")</f>
        <v>#REF!</v>
      </c>
      <c r="FW51" t="e">
        <f>AND(#REF!,"AAAAAHzmt7I=")</f>
        <v>#REF!</v>
      </c>
      <c r="FX51" t="e">
        <f>AND(#REF!,"AAAAAHzmt7M=")</f>
        <v>#REF!</v>
      </c>
      <c r="FY51" t="e">
        <f>AND(#REF!,"AAAAAHzmt7Q=")</f>
        <v>#REF!</v>
      </c>
      <c r="FZ51" t="e">
        <f>AND(#REF!,"AAAAAHzmt7U=")</f>
        <v>#REF!</v>
      </c>
      <c r="GA51" t="e">
        <f>AND(#REF!,"AAAAAHzmt7Y=")</f>
        <v>#REF!</v>
      </c>
      <c r="GB51" t="e">
        <f>AND(#REF!,"AAAAAHzmt7c=")</f>
        <v>#REF!</v>
      </c>
      <c r="GC51" t="e">
        <f>AND(#REF!,"AAAAAHzmt7g=")</f>
        <v>#REF!</v>
      </c>
      <c r="GD51" t="e">
        <f>AND(#REF!,"AAAAAHzmt7k=")</f>
        <v>#REF!</v>
      </c>
      <c r="GE51" t="e">
        <f>AND(#REF!,"AAAAAHzmt7o=")</f>
        <v>#REF!</v>
      </c>
      <c r="GF51" t="e">
        <f>IF(#REF!,"AAAAAHzmt7s=",0)</f>
        <v>#REF!</v>
      </c>
      <c r="GG51" t="e">
        <f>AND(#REF!,"AAAAAHzmt7w=")</f>
        <v>#REF!</v>
      </c>
      <c r="GH51" t="e">
        <f>AND(#REF!,"AAAAAHzmt70=")</f>
        <v>#REF!</v>
      </c>
      <c r="GI51" t="e">
        <f>AND(#REF!,"AAAAAHzmt74=")</f>
        <v>#REF!</v>
      </c>
      <c r="GJ51" t="e">
        <f>AND(#REF!,"AAAAAHzmt78=")</f>
        <v>#REF!</v>
      </c>
      <c r="GK51" t="e">
        <f>AND(#REF!,"AAAAAHzmt8A=")</f>
        <v>#REF!</v>
      </c>
      <c r="GL51" t="e">
        <f>AND(#REF!,"AAAAAHzmt8E=")</f>
        <v>#REF!</v>
      </c>
      <c r="GM51" t="e">
        <f>AND(#REF!,"AAAAAHzmt8I=")</f>
        <v>#REF!</v>
      </c>
      <c r="GN51" t="e">
        <f>AND(#REF!,"AAAAAHzmt8M=")</f>
        <v>#REF!</v>
      </c>
      <c r="GO51" t="e">
        <f>AND(#REF!,"AAAAAHzmt8Q=")</f>
        <v>#REF!</v>
      </c>
      <c r="GP51" t="e">
        <f>AND(#REF!,"AAAAAHzmt8U=")</f>
        <v>#REF!</v>
      </c>
      <c r="GQ51" t="e">
        <f>AND(#REF!,"AAAAAHzmt8Y=")</f>
        <v>#REF!</v>
      </c>
      <c r="GR51" t="e">
        <f>AND(#REF!,"AAAAAHzmt8c=")</f>
        <v>#REF!</v>
      </c>
      <c r="GS51" t="e">
        <f>AND(#REF!,"AAAAAHzmt8g=")</f>
        <v>#REF!</v>
      </c>
      <c r="GT51" t="e">
        <f>AND(#REF!,"AAAAAHzmt8k=")</f>
        <v>#REF!</v>
      </c>
      <c r="GU51" t="e">
        <f>AND(#REF!,"AAAAAHzmt8o=")</f>
        <v>#REF!</v>
      </c>
      <c r="GV51" t="e">
        <f>AND(#REF!,"AAAAAHzmt8s=")</f>
        <v>#REF!</v>
      </c>
      <c r="GW51" t="e">
        <f>AND(#REF!,"AAAAAHzmt8w=")</f>
        <v>#REF!</v>
      </c>
      <c r="GX51" t="e">
        <f>AND(#REF!,"AAAAAHzmt80=")</f>
        <v>#REF!</v>
      </c>
      <c r="GY51" t="e">
        <f>AND(#REF!,"AAAAAHzmt84=")</f>
        <v>#REF!</v>
      </c>
      <c r="GZ51" t="e">
        <f>AND(#REF!,"AAAAAHzmt88=")</f>
        <v>#REF!</v>
      </c>
      <c r="HA51" t="e">
        <f>AND(#REF!,"AAAAAHzmt9A=")</f>
        <v>#REF!</v>
      </c>
      <c r="HB51" t="e">
        <f>AND(#REF!,"AAAAAHzmt9E=")</f>
        <v>#REF!</v>
      </c>
      <c r="HC51" t="e">
        <f>AND(#REF!,"AAAAAHzmt9I=")</f>
        <v>#REF!</v>
      </c>
      <c r="HD51" t="e">
        <f>AND(#REF!,"AAAAAHzmt9M=")</f>
        <v>#REF!</v>
      </c>
      <c r="HE51" t="e">
        <f>AND(#REF!,"AAAAAHzmt9Q=")</f>
        <v>#REF!</v>
      </c>
      <c r="HF51" t="e">
        <f>AND(#REF!,"AAAAAHzmt9U=")</f>
        <v>#REF!</v>
      </c>
      <c r="HG51" t="e">
        <f>AND(#REF!,"AAAAAHzmt9Y=")</f>
        <v>#REF!</v>
      </c>
      <c r="HH51" t="e">
        <f>AND(#REF!,"AAAAAHzmt9c=")</f>
        <v>#REF!</v>
      </c>
      <c r="HI51" t="e">
        <f>AND(#REF!,"AAAAAHzmt9g=")</f>
        <v>#REF!</v>
      </c>
      <c r="HJ51" t="e">
        <f>AND(#REF!,"AAAAAHzmt9k=")</f>
        <v>#REF!</v>
      </c>
      <c r="HK51" t="e">
        <f>AND(#REF!,"AAAAAHzmt9o=")</f>
        <v>#REF!</v>
      </c>
      <c r="HL51" t="e">
        <f>AND(#REF!,"AAAAAHzmt9s=")</f>
        <v>#REF!</v>
      </c>
      <c r="HM51" t="e">
        <f>AND(#REF!,"AAAAAHzmt9w=")</f>
        <v>#REF!</v>
      </c>
      <c r="HN51" t="e">
        <f>AND(#REF!,"AAAAAHzmt90=")</f>
        <v>#REF!</v>
      </c>
      <c r="HO51" t="e">
        <f>AND(#REF!,"AAAAAHzmt94=")</f>
        <v>#REF!</v>
      </c>
      <c r="HP51" t="e">
        <f>AND(#REF!,"AAAAAHzmt98=")</f>
        <v>#REF!</v>
      </c>
      <c r="HQ51" t="e">
        <f>AND(#REF!,"AAAAAHzmt+A=")</f>
        <v>#REF!</v>
      </c>
      <c r="HR51" t="e">
        <f>AND(#REF!,"AAAAAHzmt+E=")</f>
        <v>#REF!</v>
      </c>
      <c r="HS51" t="e">
        <f>AND(#REF!,"AAAAAHzmt+I=")</f>
        <v>#REF!</v>
      </c>
      <c r="HT51" t="e">
        <f>AND(#REF!,"AAAAAHzmt+M=")</f>
        <v>#REF!</v>
      </c>
      <c r="HU51" t="e">
        <f>AND(#REF!,"AAAAAHzmt+Q=")</f>
        <v>#REF!</v>
      </c>
      <c r="HV51" t="e">
        <f>IF(#REF!,"AAAAAHzmt+U=",0)</f>
        <v>#REF!</v>
      </c>
      <c r="HW51" t="e">
        <f>AND(#REF!,"AAAAAHzmt+Y=")</f>
        <v>#REF!</v>
      </c>
      <c r="HX51" t="e">
        <f>AND(#REF!,"AAAAAHzmt+c=")</f>
        <v>#REF!</v>
      </c>
      <c r="HY51" t="e">
        <f>AND(#REF!,"AAAAAHzmt+g=")</f>
        <v>#REF!</v>
      </c>
      <c r="HZ51" t="e">
        <f>AND(#REF!,"AAAAAHzmt+k=")</f>
        <v>#REF!</v>
      </c>
      <c r="IA51" t="e">
        <f>AND(#REF!,"AAAAAHzmt+o=")</f>
        <v>#REF!</v>
      </c>
      <c r="IB51" t="e">
        <f>AND(#REF!,"AAAAAHzmt+s=")</f>
        <v>#REF!</v>
      </c>
      <c r="IC51" t="e">
        <f>AND(#REF!,"AAAAAHzmt+w=")</f>
        <v>#REF!</v>
      </c>
      <c r="ID51" t="e">
        <f>AND(#REF!,"AAAAAHzmt+0=")</f>
        <v>#REF!</v>
      </c>
      <c r="IE51" t="e">
        <f>AND(#REF!,"AAAAAHzmt+4=")</f>
        <v>#REF!</v>
      </c>
      <c r="IF51" t="e">
        <f>AND(#REF!,"AAAAAHzmt+8=")</f>
        <v>#REF!</v>
      </c>
      <c r="IG51" t="e">
        <f>AND(#REF!,"AAAAAHzmt/A=")</f>
        <v>#REF!</v>
      </c>
      <c r="IH51" t="e">
        <f>AND(#REF!,"AAAAAHzmt/E=")</f>
        <v>#REF!</v>
      </c>
      <c r="II51" t="e">
        <f>AND(#REF!,"AAAAAHzmt/I=")</f>
        <v>#REF!</v>
      </c>
      <c r="IJ51" t="e">
        <f>AND(#REF!,"AAAAAHzmt/M=")</f>
        <v>#REF!</v>
      </c>
      <c r="IK51" t="e">
        <f>AND(#REF!,"AAAAAHzmt/Q=")</f>
        <v>#REF!</v>
      </c>
      <c r="IL51" t="e">
        <f>AND(#REF!,"AAAAAHzmt/U=")</f>
        <v>#REF!</v>
      </c>
      <c r="IM51" t="e">
        <f>AND(#REF!,"AAAAAHzmt/Y=")</f>
        <v>#REF!</v>
      </c>
      <c r="IN51" t="e">
        <f>AND(#REF!,"AAAAAHzmt/c=")</f>
        <v>#REF!</v>
      </c>
      <c r="IO51" t="e">
        <f>AND(#REF!,"AAAAAHzmt/g=")</f>
        <v>#REF!</v>
      </c>
      <c r="IP51" t="e">
        <f>AND(#REF!,"AAAAAHzmt/k=")</f>
        <v>#REF!</v>
      </c>
      <c r="IQ51" t="e">
        <f>AND(#REF!,"AAAAAHzmt/o=")</f>
        <v>#REF!</v>
      </c>
      <c r="IR51" t="e">
        <f>AND(#REF!,"AAAAAHzmt/s=")</f>
        <v>#REF!</v>
      </c>
      <c r="IS51" t="e">
        <f>AND(#REF!,"AAAAAHzmt/w=")</f>
        <v>#REF!</v>
      </c>
      <c r="IT51" t="e">
        <f>AND(#REF!,"AAAAAHzmt/0=")</f>
        <v>#REF!</v>
      </c>
      <c r="IU51" t="e">
        <f>AND(#REF!,"AAAAAHzmt/4=")</f>
        <v>#REF!</v>
      </c>
      <c r="IV51" t="e">
        <f>AND(#REF!,"AAAAAHzmt/8=")</f>
        <v>#REF!</v>
      </c>
    </row>
    <row r="52" spans="1:256">
      <c r="A52" t="e">
        <f>AND(#REF!,"AAAAAH1ifwA=")</f>
        <v>#REF!</v>
      </c>
      <c r="B52" t="e">
        <f>AND(#REF!,"AAAAAH1ifwE=")</f>
        <v>#REF!</v>
      </c>
      <c r="C52" t="e">
        <f>AND(#REF!,"AAAAAH1ifwI=")</f>
        <v>#REF!</v>
      </c>
      <c r="D52" t="e">
        <f>AND(#REF!,"AAAAAH1ifwM=")</f>
        <v>#REF!</v>
      </c>
      <c r="E52" t="e">
        <f>AND(#REF!,"AAAAAH1ifwQ=")</f>
        <v>#REF!</v>
      </c>
      <c r="F52" t="e">
        <f>AND(#REF!,"AAAAAH1ifwU=")</f>
        <v>#REF!</v>
      </c>
      <c r="G52" t="e">
        <f>AND(#REF!,"AAAAAH1ifwY=")</f>
        <v>#REF!</v>
      </c>
      <c r="H52" t="e">
        <f>AND(#REF!,"AAAAAH1ifwc=")</f>
        <v>#REF!</v>
      </c>
      <c r="I52" t="e">
        <f>AND(#REF!,"AAAAAH1ifwg=")</f>
        <v>#REF!</v>
      </c>
      <c r="J52" t="e">
        <f>AND(#REF!,"AAAAAH1ifwk=")</f>
        <v>#REF!</v>
      </c>
      <c r="K52" t="e">
        <f>AND(#REF!,"AAAAAH1ifwo=")</f>
        <v>#REF!</v>
      </c>
      <c r="L52" t="e">
        <f>AND(#REF!,"AAAAAH1ifws=")</f>
        <v>#REF!</v>
      </c>
      <c r="M52" t="e">
        <f>AND(#REF!,"AAAAAH1ifww=")</f>
        <v>#REF!</v>
      </c>
      <c r="N52" t="e">
        <f>AND(#REF!,"AAAAAH1ifw0=")</f>
        <v>#REF!</v>
      </c>
      <c r="O52" t="e">
        <f>AND(#REF!,"AAAAAH1ifw4=")</f>
        <v>#REF!</v>
      </c>
      <c r="P52" t="e">
        <f>IF(#REF!,"AAAAAH1ifw8=",0)</f>
        <v>#REF!</v>
      </c>
      <c r="Q52" t="e">
        <f>AND(#REF!,"AAAAAH1ifxA=")</f>
        <v>#REF!</v>
      </c>
      <c r="R52" t="e">
        <f>AND(#REF!,"AAAAAH1ifxE=")</f>
        <v>#REF!</v>
      </c>
      <c r="S52" t="e">
        <f>AND(#REF!,"AAAAAH1ifxI=")</f>
        <v>#REF!</v>
      </c>
      <c r="T52" t="e">
        <f>AND(#REF!,"AAAAAH1ifxM=")</f>
        <v>#REF!</v>
      </c>
      <c r="U52" t="e">
        <f>AND(#REF!,"AAAAAH1ifxQ=")</f>
        <v>#REF!</v>
      </c>
      <c r="V52" t="e">
        <f>AND(#REF!,"AAAAAH1ifxU=")</f>
        <v>#REF!</v>
      </c>
      <c r="W52" t="e">
        <f>AND(#REF!,"AAAAAH1ifxY=")</f>
        <v>#REF!</v>
      </c>
      <c r="X52" t="e">
        <f>AND(#REF!,"AAAAAH1ifxc=")</f>
        <v>#REF!</v>
      </c>
      <c r="Y52" t="e">
        <f>AND(#REF!,"AAAAAH1ifxg=")</f>
        <v>#REF!</v>
      </c>
      <c r="Z52" t="e">
        <f>AND(#REF!,"AAAAAH1ifxk=")</f>
        <v>#REF!</v>
      </c>
      <c r="AA52" t="e">
        <f>AND(#REF!,"AAAAAH1ifxo=")</f>
        <v>#REF!</v>
      </c>
      <c r="AB52" t="e">
        <f>AND(#REF!,"AAAAAH1ifxs=")</f>
        <v>#REF!</v>
      </c>
      <c r="AC52" t="e">
        <f>AND(#REF!,"AAAAAH1ifxw=")</f>
        <v>#REF!</v>
      </c>
      <c r="AD52" t="e">
        <f>AND(#REF!,"AAAAAH1ifx0=")</f>
        <v>#REF!</v>
      </c>
      <c r="AE52" t="e">
        <f>AND(#REF!,"AAAAAH1ifx4=")</f>
        <v>#REF!</v>
      </c>
      <c r="AF52" t="e">
        <f>AND(#REF!,"AAAAAH1ifx8=")</f>
        <v>#REF!</v>
      </c>
      <c r="AG52" t="e">
        <f>AND(#REF!,"AAAAAH1ifyA=")</f>
        <v>#REF!</v>
      </c>
      <c r="AH52" t="e">
        <f>AND(#REF!,"AAAAAH1ifyE=")</f>
        <v>#REF!</v>
      </c>
      <c r="AI52" t="e">
        <f>AND(#REF!,"AAAAAH1ifyI=")</f>
        <v>#REF!</v>
      </c>
      <c r="AJ52" t="e">
        <f>AND(#REF!,"AAAAAH1ifyM=")</f>
        <v>#REF!</v>
      </c>
      <c r="AK52" t="e">
        <f>AND(#REF!,"AAAAAH1ifyQ=")</f>
        <v>#REF!</v>
      </c>
      <c r="AL52" t="e">
        <f>AND(#REF!,"AAAAAH1ifyU=")</f>
        <v>#REF!</v>
      </c>
      <c r="AM52" t="e">
        <f>AND(#REF!,"AAAAAH1ifyY=")</f>
        <v>#REF!</v>
      </c>
      <c r="AN52" t="e">
        <f>AND(#REF!,"AAAAAH1ifyc=")</f>
        <v>#REF!</v>
      </c>
      <c r="AO52" t="e">
        <f>AND(#REF!,"AAAAAH1ifyg=")</f>
        <v>#REF!</v>
      </c>
      <c r="AP52" t="e">
        <f>AND(#REF!,"AAAAAH1ifyk=")</f>
        <v>#REF!</v>
      </c>
      <c r="AQ52" t="e">
        <f>AND(#REF!,"AAAAAH1ifyo=")</f>
        <v>#REF!</v>
      </c>
      <c r="AR52" t="e">
        <f>AND(#REF!,"AAAAAH1ifys=")</f>
        <v>#REF!</v>
      </c>
      <c r="AS52" t="e">
        <f>AND(#REF!,"AAAAAH1ifyw=")</f>
        <v>#REF!</v>
      </c>
      <c r="AT52" t="e">
        <f>AND(#REF!,"AAAAAH1ify0=")</f>
        <v>#REF!</v>
      </c>
      <c r="AU52" t="e">
        <f>AND(#REF!,"AAAAAH1ify4=")</f>
        <v>#REF!</v>
      </c>
      <c r="AV52" t="e">
        <f>AND(#REF!,"AAAAAH1ify8=")</f>
        <v>#REF!</v>
      </c>
      <c r="AW52" t="e">
        <f>AND(#REF!,"AAAAAH1ifzA=")</f>
        <v>#REF!</v>
      </c>
      <c r="AX52" t="e">
        <f>AND(#REF!,"AAAAAH1ifzE=")</f>
        <v>#REF!</v>
      </c>
      <c r="AY52" t="e">
        <f>AND(#REF!,"AAAAAH1ifzI=")</f>
        <v>#REF!</v>
      </c>
      <c r="AZ52" t="e">
        <f>AND(#REF!,"AAAAAH1ifzM=")</f>
        <v>#REF!</v>
      </c>
      <c r="BA52" t="e">
        <f>AND(#REF!,"AAAAAH1ifzQ=")</f>
        <v>#REF!</v>
      </c>
      <c r="BB52" t="e">
        <f>AND(#REF!,"AAAAAH1ifzU=")</f>
        <v>#REF!</v>
      </c>
      <c r="BC52" t="e">
        <f>AND(#REF!,"AAAAAH1ifzY=")</f>
        <v>#REF!</v>
      </c>
      <c r="BD52" t="e">
        <f>AND(#REF!,"AAAAAH1ifzc=")</f>
        <v>#REF!</v>
      </c>
      <c r="BE52" t="e">
        <f>AND(#REF!,"AAAAAH1ifzg=")</f>
        <v>#REF!</v>
      </c>
      <c r="BF52" t="e">
        <f>IF(#REF!,"AAAAAH1ifzk=",0)</f>
        <v>#REF!</v>
      </c>
      <c r="BG52" t="e">
        <f>AND(#REF!,"AAAAAH1ifzo=")</f>
        <v>#REF!</v>
      </c>
      <c r="BH52" t="e">
        <f>AND(#REF!,"AAAAAH1ifzs=")</f>
        <v>#REF!</v>
      </c>
      <c r="BI52" t="e">
        <f>AND(#REF!,"AAAAAH1ifzw=")</f>
        <v>#REF!</v>
      </c>
      <c r="BJ52" t="e">
        <f>AND(#REF!,"AAAAAH1ifz0=")</f>
        <v>#REF!</v>
      </c>
      <c r="BK52" t="e">
        <f>AND(#REF!,"AAAAAH1ifz4=")</f>
        <v>#REF!</v>
      </c>
      <c r="BL52" t="e">
        <f>AND(#REF!,"AAAAAH1ifz8=")</f>
        <v>#REF!</v>
      </c>
      <c r="BM52" t="e">
        <f>AND(#REF!,"AAAAAH1if0A=")</f>
        <v>#REF!</v>
      </c>
      <c r="BN52" t="e">
        <f>AND(#REF!,"AAAAAH1if0E=")</f>
        <v>#REF!</v>
      </c>
      <c r="BO52" t="e">
        <f>AND(#REF!,"AAAAAH1if0I=")</f>
        <v>#REF!</v>
      </c>
      <c r="BP52" t="e">
        <f>AND(#REF!,"AAAAAH1if0M=")</f>
        <v>#REF!</v>
      </c>
      <c r="BQ52" t="e">
        <f>AND(#REF!,"AAAAAH1if0Q=")</f>
        <v>#REF!</v>
      </c>
      <c r="BR52" t="e">
        <f>AND(#REF!,"AAAAAH1if0U=")</f>
        <v>#REF!</v>
      </c>
      <c r="BS52" t="e">
        <f>AND(#REF!,"AAAAAH1if0Y=")</f>
        <v>#REF!</v>
      </c>
      <c r="BT52" t="e">
        <f>AND(#REF!,"AAAAAH1if0c=")</f>
        <v>#REF!</v>
      </c>
      <c r="BU52" t="e">
        <f>AND(#REF!,"AAAAAH1if0g=")</f>
        <v>#REF!</v>
      </c>
      <c r="BV52" t="e">
        <f>AND(#REF!,"AAAAAH1if0k=")</f>
        <v>#REF!</v>
      </c>
      <c r="BW52" t="e">
        <f>AND(#REF!,"AAAAAH1if0o=")</f>
        <v>#REF!</v>
      </c>
      <c r="BX52" t="e">
        <f>AND(#REF!,"AAAAAH1if0s=")</f>
        <v>#REF!</v>
      </c>
      <c r="BY52" t="e">
        <f>AND(#REF!,"AAAAAH1if0w=")</f>
        <v>#REF!</v>
      </c>
      <c r="BZ52" t="e">
        <f>AND(#REF!,"AAAAAH1if00=")</f>
        <v>#REF!</v>
      </c>
      <c r="CA52" t="e">
        <f>AND(#REF!,"AAAAAH1if04=")</f>
        <v>#REF!</v>
      </c>
      <c r="CB52" t="e">
        <f>AND(#REF!,"AAAAAH1if08=")</f>
        <v>#REF!</v>
      </c>
      <c r="CC52" t="e">
        <f>AND(#REF!,"AAAAAH1if1A=")</f>
        <v>#REF!</v>
      </c>
      <c r="CD52" t="e">
        <f>AND(#REF!,"AAAAAH1if1E=")</f>
        <v>#REF!</v>
      </c>
      <c r="CE52" t="e">
        <f>AND(#REF!,"AAAAAH1if1I=")</f>
        <v>#REF!</v>
      </c>
      <c r="CF52" t="e">
        <f>AND(#REF!,"AAAAAH1if1M=")</f>
        <v>#REF!</v>
      </c>
      <c r="CG52" t="e">
        <f>AND(#REF!,"AAAAAH1if1Q=")</f>
        <v>#REF!</v>
      </c>
      <c r="CH52" t="e">
        <f>AND(#REF!,"AAAAAH1if1U=")</f>
        <v>#REF!</v>
      </c>
      <c r="CI52" t="e">
        <f>AND(#REF!,"AAAAAH1if1Y=")</f>
        <v>#REF!</v>
      </c>
      <c r="CJ52" t="e">
        <f>AND(#REF!,"AAAAAH1if1c=")</f>
        <v>#REF!</v>
      </c>
      <c r="CK52" t="e">
        <f>AND(#REF!,"AAAAAH1if1g=")</f>
        <v>#REF!</v>
      </c>
      <c r="CL52" t="e">
        <f>AND(#REF!,"AAAAAH1if1k=")</f>
        <v>#REF!</v>
      </c>
      <c r="CM52" t="e">
        <f>AND(#REF!,"AAAAAH1if1o=")</f>
        <v>#REF!</v>
      </c>
      <c r="CN52" t="e">
        <f>AND(#REF!,"AAAAAH1if1s=")</f>
        <v>#REF!</v>
      </c>
      <c r="CO52" t="e">
        <f>AND(#REF!,"AAAAAH1if1w=")</f>
        <v>#REF!</v>
      </c>
      <c r="CP52" t="e">
        <f>AND(#REF!,"AAAAAH1if10=")</f>
        <v>#REF!</v>
      </c>
      <c r="CQ52" t="e">
        <f>AND(#REF!,"AAAAAH1if14=")</f>
        <v>#REF!</v>
      </c>
      <c r="CR52" t="e">
        <f>AND(#REF!,"AAAAAH1if18=")</f>
        <v>#REF!</v>
      </c>
      <c r="CS52" t="e">
        <f>AND(#REF!,"AAAAAH1if2A=")</f>
        <v>#REF!</v>
      </c>
      <c r="CT52" t="e">
        <f>AND(#REF!,"AAAAAH1if2E=")</f>
        <v>#REF!</v>
      </c>
      <c r="CU52" t="e">
        <f>AND(#REF!,"AAAAAH1if2I=")</f>
        <v>#REF!</v>
      </c>
      <c r="CV52" t="e">
        <f>IF(#REF!,"AAAAAH1if2M=",0)</f>
        <v>#REF!</v>
      </c>
      <c r="CW52" t="e">
        <f>AND(#REF!,"AAAAAH1if2Q=")</f>
        <v>#REF!</v>
      </c>
      <c r="CX52" t="e">
        <f>AND(#REF!,"AAAAAH1if2U=")</f>
        <v>#REF!</v>
      </c>
      <c r="CY52" t="e">
        <f>AND(#REF!,"AAAAAH1if2Y=")</f>
        <v>#REF!</v>
      </c>
      <c r="CZ52" t="e">
        <f>AND(#REF!,"AAAAAH1if2c=")</f>
        <v>#REF!</v>
      </c>
      <c r="DA52" t="e">
        <f>AND(#REF!,"AAAAAH1if2g=")</f>
        <v>#REF!</v>
      </c>
      <c r="DB52" t="e">
        <f>AND(#REF!,"AAAAAH1if2k=")</f>
        <v>#REF!</v>
      </c>
      <c r="DC52" t="e">
        <f>AND(#REF!,"AAAAAH1if2o=")</f>
        <v>#REF!</v>
      </c>
      <c r="DD52" t="e">
        <f>AND(#REF!,"AAAAAH1if2s=")</f>
        <v>#REF!</v>
      </c>
      <c r="DE52" t="e">
        <f>AND(#REF!,"AAAAAH1if2w=")</f>
        <v>#REF!</v>
      </c>
      <c r="DF52" t="e">
        <f>AND(#REF!,"AAAAAH1if20=")</f>
        <v>#REF!</v>
      </c>
      <c r="DG52" t="e">
        <f>AND(#REF!,"AAAAAH1if24=")</f>
        <v>#REF!</v>
      </c>
      <c r="DH52" t="e">
        <f>AND(#REF!,"AAAAAH1if28=")</f>
        <v>#REF!</v>
      </c>
      <c r="DI52" t="e">
        <f>AND(#REF!,"AAAAAH1if3A=")</f>
        <v>#REF!</v>
      </c>
      <c r="DJ52" t="e">
        <f>AND(#REF!,"AAAAAH1if3E=")</f>
        <v>#REF!</v>
      </c>
      <c r="DK52" t="e">
        <f>AND(#REF!,"AAAAAH1if3I=")</f>
        <v>#REF!</v>
      </c>
      <c r="DL52" t="e">
        <f>AND(#REF!,"AAAAAH1if3M=")</f>
        <v>#REF!</v>
      </c>
      <c r="DM52" t="e">
        <f>AND(#REF!,"AAAAAH1if3Q=")</f>
        <v>#REF!</v>
      </c>
      <c r="DN52" t="e">
        <f>AND(#REF!,"AAAAAH1if3U=")</f>
        <v>#REF!</v>
      </c>
      <c r="DO52" t="e">
        <f>AND(#REF!,"AAAAAH1if3Y=")</f>
        <v>#REF!</v>
      </c>
      <c r="DP52" t="e">
        <f>AND(#REF!,"AAAAAH1if3c=")</f>
        <v>#REF!</v>
      </c>
      <c r="DQ52" t="e">
        <f>AND(#REF!,"AAAAAH1if3g=")</f>
        <v>#REF!</v>
      </c>
      <c r="DR52" t="e">
        <f>AND(#REF!,"AAAAAH1if3k=")</f>
        <v>#REF!</v>
      </c>
      <c r="DS52" t="e">
        <f>AND(#REF!,"AAAAAH1if3o=")</f>
        <v>#REF!</v>
      </c>
      <c r="DT52" t="e">
        <f>AND(#REF!,"AAAAAH1if3s=")</f>
        <v>#REF!</v>
      </c>
      <c r="DU52" t="e">
        <f>AND(#REF!,"AAAAAH1if3w=")</f>
        <v>#REF!</v>
      </c>
      <c r="DV52" t="e">
        <f>AND(#REF!,"AAAAAH1if30=")</f>
        <v>#REF!</v>
      </c>
      <c r="DW52" t="e">
        <f>AND(#REF!,"AAAAAH1if34=")</f>
        <v>#REF!</v>
      </c>
      <c r="DX52" t="e">
        <f>AND(#REF!,"AAAAAH1if38=")</f>
        <v>#REF!</v>
      </c>
      <c r="DY52" t="e">
        <f>AND(#REF!,"AAAAAH1if4A=")</f>
        <v>#REF!</v>
      </c>
      <c r="DZ52" t="e">
        <f>AND(#REF!,"AAAAAH1if4E=")</f>
        <v>#REF!</v>
      </c>
      <c r="EA52" t="e">
        <f>AND(#REF!,"AAAAAH1if4I=")</f>
        <v>#REF!</v>
      </c>
      <c r="EB52" t="e">
        <f>AND(#REF!,"AAAAAH1if4M=")</f>
        <v>#REF!</v>
      </c>
      <c r="EC52" t="e">
        <f>AND(#REF!,"AAAAAH1if4Q=")</f>
        <v>#REF!</v>
      </c>
      <c r="ED52" t="e">
        <f>AND(#REF!,"AAAAAH1if4U=")</f>
        <v>#REF!</v>
      </c>
      <c r="EE52" t="e">
        <f>AND(#REF!,"AAAAAH1if4Y=")</f>
        <v>#REF!</v>
      </c>
      <c r="EF52" t="e">
        <f>AND(#REF!,"AAAAAH1if4c=")</f>
        <v>#REF!</v>
      </c>
      <c r="EG52" t="e">
        <f>AND(#REF!,"AAAAAH1if4g=")</f>
        <v>#REF!</v>
      </c>
      <c r="EH52" t="e">
        <f>AND(#REF!,"AAAAAH1if4k=")</f>
        <v>#REF!</v>
      </c>
      <c r="EI52" t="e">
        <f>AND(#REF!,"AAAAAH1if4o=")</f>
        <v>#REF!</v>
      </c>
      <c r="EJ52" t="e">
        <f>AND(#REF!,"AAAAAH1if4s=")</f>
        <v>#REF!</v>
      </c>
      <c r="EK52" t="e">
        <f>AND(#REF!,"AAAAAH1if4w=")</f>
        <v>#REF!</v>
      </c>
      <c r="EL52" t="e">
        <f>IF(#REF!,"AAAAAH1if40=",0)</f>
        <v>#REF!</v>
      </c>
      <c r="EM52" t="e">
        <f>AND(#REF!,"AAAAAH1if44=")</f>
        <v>#REF!</v>
      </c>
      <c r="EN52" t="e">
        <f>AND(#REF!,"AAAAAH1if48=")</f>
        <v>#REF!</v>
      </c>
      <c r="EO52" t="e">
        <f>AND(#REF!,"AAAAAH1if5A=")</f>
        <v>#REF!</v>
      </c>
      <c r="EP52" t="e">
        <f>AND(#REF!,"AAAAAH1if5E=")</f>
        <v>#REF!</v>
      </c>
      <c r="EQ52" t="e">
        <f>AND(#REF!,"AAAAAH1if5I=")</f>
        <v>#REF!</v>
      </c>
      <c r="ER52" t="e">
        <f>AND(#REF!,"AAAAAH1if5M=")</f>
        <v>#REF!</v>
      </c>
      <c r="ES52" t="e">
        <f>AND(#REF!,"AAAAAH1if5Q=")</f>
        <v>#REF!</v>
      </c>
      <c r="ET52" t="e">
        <f>AND(#REF!,"AAAAAH1if5U=")</f>
        <v>#REF!</v>
      </c>
      <c r="EU52" t="e">
        <f>AND(#REF!,"AAAAAH1if5Y=")</f>
        <v>#REF!</v>
      </c>
      <c r="EV52" t="e">
        <f>AND(#REF!,"AAAAAH1if5c=")</f>
        <v>#REF!</v>
      </c>
      <c r="EW52" t="e">
        <f>AND(#REF!,"AAAAAH1if5g=")</f>
        <v>#REF!</v>
      </c>
      <c r="EX52" t="e">
        <f>AND(#REF!,"AAAAAH1if5k=")</f>
        <v>#REF!</v>
      </c>
      <c r="EY52" t="e">
        <f>AND(#REF!,"AAAAAH1if5o=")</f>
        <v>#REF!</v>
      </c>
      <c r="EZ52" t="e">
        <f>AND(#REF!,"AAAAAH1if5s=")</f>
        <v>#REF!</v>
      </c>
      <c r="FA52" t="e">
        <f>AND(#REF!,"AAAAAH1if5w=")</f>
        <v>#REF!</v>
      </c>
      <c r="FB52" t="e">
        <f>AND(#REF!,"AAAAAH1if50=")</f>
        <v>#REF!</v>
      </c>
      <c r="FC52" t="e">
        <f>AND(#REF!,"AAAAAH1if54=")</f>
        <v>#REF!</v>
      </c>
      <c r="FD52" t="e">
        <f>AND(#REF!,"AAAAAH1if58=")</f>
        <v>#REF!</v>
      </c>
      <c r="FE52" t="e">
        <f>AND(#REF!,"AAAAAH1if6A=")</f>
        <v>#REF!</v>
      </c>
      <c r="FF52" t="e">
        <f>AND(#REF!,"AAAAAH1if6E=")</f>
        <v>#REF!</v>
      </c>
      <c r="FG52" t="e">
        <f>AND(#REF!,"AAAAAH1if6I=")</f>
        <v>#REF!</v>
      </c>
      <c r="FH52" t="e">
        <f>AND(#REF!,"AAAAAH1if6M=")</f>
        <v>#REF!</v>
      </c>
      <c r="FI52" t="e">
        <f>AND(#REF!,"AAAAAH1if6Q=")</f>
        <v>#REF!</v>
      </c>
      <c r="FJ52" t="e">
        <f>AND(#REF!,"AAAAAH1if6U=")</f>
        <v>#REF!</v>
      </c>
      <c r="FK52" t="e">
        <f>AND(#REF!,"AAAAAH1if6Y=")</f>
        <v>#REF!</v>
      </c>
      <c r="FL52" t="e">
        <f>AND(#REF!,"AAAAAH1if6c=")</f>
        <v>#REF!</v>
      </c>
      <c r="FM52" t="e">
        <f>AND(#REF!,"AAAAAH1if6g=")</f>
        <v>#REF!</v>
      </c>
      <c r="FN52" t="e">
        <f>AND(#REF!,"AAAAAH1if6k=")</f>
        <v>#REF!</v>
      </c>
      <c r="FO52" t="e">
        <f>AND(#REF!,"AAAAAH1if6o=")</f>
        <v>#REF!</v>
      </c>
      <c r="FP52" t="e">
        <f>AND(#REF!,"AAAAAH1if6s=")</f>
        <v>#REF!</v>
      </c>
      <c r="FQ52" t="e">
        <f>AND(#REF!,"AAAAAH1if6w=")</f>
        <v>#REF!</v>
      </c>
      <c r="FR52" t="e">
        <f>AND(#REF!,"AAAAAH1if60=")</f>
        <v>#REF!</v>
      </c>
      <c r="FS52" t="e">
        <f>AND(#REF!,"AAAAAH1if64=")</f>
        <v>#REF!</v>
      </c>
      <c r="FT52" t="e">
        <f>AND(#REF!,"AAAAAH1if68=")</f>
        <v>#REF!</v>
      </c>
      <c r="FU52" t="e">
        <f>AND(#REF!,"AAAAAH1if7A=")</f>
        <v>#REF!</v>
      </c>
      <c r="FV52" t="e">
        <f>AND(#REF!,"AAAAAH1if7E=")</f>
        <v>#REF!</v>
      </c>
      <c r="FW52" t="e">
        <f>AND(#REF!,"AAAAAH1if7I=")</f>
        <v>#REF!</v>
      </c>
      <c r="FX52" t="e">
        <f>AND(#REF!,"AAAAAH1if7M=")</f>
        <v>#REF!</v>
      </c>
      <c r="FY52" t="e">
        <f>AND(#REF!,"AAAAAH1if7Q=")</f>
        <v>#REF!</v>
      </c>
      <c r="FZ52" t="e">
        <f>AND(#REF!,"AAAAAH1if7U=")</f>
        <v>#REF!</v>
      </c>
      <c r="GA52" t="e">
        <f>AND(#REF!,"AAAAAH1if7Y=")</f>
        <v>#REF!</v>
      </c>
      <c r="GB52" t="e">
        <f>IF(#REF!,"AAAAAH1if7c=",0)</f>
        <v>#REF!</v>
      </c>
      <c r="GC52" t="e">
        <f>AND(#REF!,"AAAAAH1if7g=")</f>
        <v>#REF!</v>
      </c>
      <c r="GD52" t="e">
        <f>AND(#REF!,"AAAAAH1if7k=")</f>
        <v>#REF!</v>
      </c>
      <c r="GE52" t="e">
        <f>AND(#REF!,"AAAAAH1if7o=")</f>
        <v>#REF!</v>
      </c>
      <c r="GF52" t="e">
        <f>AND(#REF!,"AAAAAH1if7s=")</f>
        <v>#REF!</v>
      </c>
      <c r="GG52" t="e">
        <f>AND(#REF!,"AAAAAH1if7w=")</f>
        <v>#REF!</v>
      </c>
      <c r="GH52" t="e">
        <f>AND(#REF!,"AAAAAH1if70=")</f>
        <v>#REF!</v>
      </c>
      <c r="GI52" t="e">
        <f>AND(#REF!,"AAAAAH1if74=")</f>
        <v>#REF!</v>
      </c>
      <c r="GJ52" t="e">
        <f>AND(#REF!,"AAAAAH1if78=")</f>
        <v>#REF!</v>
      </c>
      <c r="GK52" t="e">
        <f>AND(#REF!,"AAAAAH1if8A=")</f>
        <v>#REF!</v>
      </c>
      <c r="GL52" t="e">
        <f>AND(#REF!,"AAAAAH1if8E=")</f>
        <v>#REF!</v>
      </c>
      <c r="GM52" t="e">
        <f>AND(#REF!,"AAAAAH1if8I=")</f>
        <v>#REF!</v>
      </c>
      <c r="GN52" t="e">
        <f>AND(#REF!,"AAAAAH1if8M=")</f>
        <v>#REF!</v>
      </c>
      <c r="GO52" t="e">
        <f>AND(#REF!,"AAAAAH1if8Q=")</f>
        <v>#REF!</v>
      </c>
      <c r="GP52" t="e">
        <f>AND(#REF!,"AAAAAH1if8U=")</f>
        <v>#REF!</v>
      </c>
      <c r="GQ52" t="e">
        <f>AND(#REF!,"AAAAAH1if8Y=")</f>
        <v>#REF!</v>
      </c>
      <c r="GR52" t="e">
        <f>AND(#REF!,"AAAAAH1if8c=")</f>
        <v>#REF!</v>
      </c>
      <c r="GS52" t="e">
        <f>AND(#REF!,"AAAAAH1if8g=")</f>
        <v>#REF!</v>
      </c>
      <c r="GT52" t="e">
        <f>AND(#REF!,"AAAAAH1if8k=")</f>
        <v>#REF!</v>
      </c>
      <c r="GU52" t="e">
        <f>AND(#REF!,"AAAAAH1if8o=")</f>
        <v>#REF!</v>
      </c>
      <c r="GV52" t="e">
        <f>AND(#REF!,"AAAAAH1if8s=")</f>
        <v>#REF!</v>
      </c>
      <c r="GW52" t="e">
        <f>AND(#REF!,"AAAAAH1if8w=")</f>
        <v>#REF!</v>
      </c>
      <c r="GX52" t="e">
        <f>AND(#REF!,"AAAAAH1if80=")</f>
        <v>#REF!</v>
      </c>
      <c r="GY52" t="e">
        <f>AND(#REF!,"AAAAAH1if84=")</f>
        <v>#REF!</v>
      </c>
      <c r="GZ52" t="e">
        <f>AND(#REF!,"AAAAAH1if88=")</f>
        <v>#REF!</v>
      </c>
      <c r="HA52" t="e">
        <f>AND(#REF!,"AAAAAH1if9A=")</f>
        <v>#REF!</v>
      </c>
      <c r="HB52" t="e">
        <f>AND(#REF!,"AAAAAH1if9E=")</f>
        <v>#REF!</v>
      </c>
      <c r="HC52" t="e">
        <f>AND(#REF!,"AAAAAH1if9I=")</f>
        <v>#REF!</v>
      </c>
      <c r="HD52" t="e">
        <f>AND(#REF!,"AAAAAH1if9M=")</f>
        <v>#REF!</v>
      </c>
      <c r="HE52" t="e">
        <f>AND(#REF!,"AAAAAH1if9Q=")</f>
        <v>#REF!</v>
      </c>
      <c r="HF52" t="e">
        <f>AND(#REF!,"AAAAAH1if9U=")</f>
        <v>#REF!</v>
      </c>
      <c r="HG52" t="e">
        <f>AND(#REF!,"AAAAAH1if9Y=")</f>
        <v>#REF!</v>
      </c>
      <c r="HH52" t="e">
        <f>AND(#REF!,"AAAAAH1if9c=")</f>
        <v>#REF!</v>
      </c>
      <c r="HI52" t="e">
        <f>AND(#REF!,"AAAAAH1if9g=")</f>
        <v>#REF!</v>
      </c>
      <c r="HJ52" t="e">
        <f>AND(#REF!,"AAAAAH1if9k=")</f>
        <v>#REF!</v>
      </c>
      <c r="HK52" t="e">
        <f>AND(#REF!,"AAAAAH1if9o=")</f>
        <v>#REF!</v>
      </c>
      <c r="HL52" t="e">
        <f>AND(#REF!,"AAAAAH1if9s=")</f>
        <v>#REF!</v>
      </c>
      <c r="HM52" t="e">
        <f>AND(#REF!,"AAAAAH1if9w=")</f>
        <v>#REF!</v>
      </c>
      <c r="HN52" t="e">
        <f>AND(#REF!,"AAAAAH1if90=")</f>
        <v>#REF!</v>
      </c>
      <c r="HO52" t="e">
        <f>AND(#REF!,"AAAAAH1if94=")</f>
        <v>#REF!</v>
      </c>
      <c r="HP52" t="e">
        <f>AND(#REF!,"AAAAAH1if98=")</f>
        <v>#REF!</v>
      </c>
      <c r="HQ52" t="e">
        <f>AND(#REF!,"AAAAAH1if+A=")</f>
        <v>#REF!</v>
      </c>
      <c r="HR52" t="e">
        <f>IF(#REF!,"AAAAAH1if+E=",0)</f>
        <v>#REF!</v>
      </c>
      <c r="HS52" t="e">
        <f>AND(#REF!,"AAAAAH1if+I=")</f>
        <v>#REF!</v>
      </c>
      <c r="HT52" t="e">
        <f>AND(#REF!,"AAAAAH1if+M=")</f>
        <v>#REF!</v>
      </c>
      <c r="HU52" t="e">
        <f>AND(#REF!,"AAAAAH1if+Q=")</f>
        <v>#REF!</v>
      </c>
      <c r="HV52" t="e">
        <f>AND(#REF!,"AAAAAH1if+U=")</f>
        <v>#REF!</v>
      </c>
      <c r="HW52" t="e">
        <f>AND(#REF!,"AAAAAH1if+Y=")</f>
        <v>#REF!</v>
      </c>
      <c r="HX52" t="e">
        <f>AND(#REF!,"AAAAAH1if+c=")</f>
        <v>#REF!</v>
      </c>
      <c r="HY52" t="e">
        <f>AND(#REF!,"AAAAAH1if+g=")</f>
        <v>#REF!</v>
      </c>
      <c r="HZ52" t="e">
        <f>AND(#REF!,"AAAAAH1if+k=")</f>
        <v>#REF!</v>
      </c>
      <c r="IA52" t="e">
        <f>AND(#REF!,"AAAAAH1if+o=")</f>
        <v>#REF!</v>
      </c>
      <c r="IB52" t="e">
        <f>AND(#REF!,"AAAAAH1if+s=")</f>
        <v>#REF!</v>
      </c>
      <c r="IC52" t="e">
        <f>AND(#REF!,"AAAAAH1if+w=")</f>
        <v>#REF!</v>
      </c>
      <c r="ID52" t="e">
        <f>AND(#REF!,"AAAAAH1if+0=")</f>
        <v>#REF!</v>
      </c>
      <c r="IE52" t="e">
        <f>AND(#REF!,"AAAAAH1if+4=")</f>
        <v>#REF!</v>
      </c>
      <c r="IF52" t="e">
        <f>AND(#REF!,"AAAAAH1if+8=")</f>
        <v>#REF!</v>
      </c>
      <c r="IG52" t="e">
        <f>AND(#REF!,"AAAAAH1if/A=")</f>
        <v>#REF!</v>
      </c>
      <c r="IH52" t="e">
        <f>AND(#REF!,"AAAAAH1if/E=")</f>
        <v>#REF!</v>
      </c>
      <c r="II52" t="e">
        <f>AND(#REF!,"AAAAAH1if/I=")</f>
        <v>#REF!</v>
      </c>
      <c r="IJ52" t="e">
        <f>AND(#REF!,"AAAAAH1if/M=")</f>
        <v>#REF!</v>
      </c>
      <c r="IK52" t="e">
        <f>AND(#REF!,"AAAAAH1if/Q=")</f>
        <v>#REF!</v>
      </c>
      <c r="IL52" t="e">
        <f>AND(#REF!,"AAAAAH1if/U=")</f>
        <v>#REF!</v>
      </c>
      <c r="IM52" t="e">
        <f>AND(#REF!,"AAAAAH1if/Y=")</f>
        <v>#REF!</v>
      </c>
      <c r="IN52" t="e">
        <f>AND(#REF!,"AAAAAH1if/c=")</f>
        <v>#REF!</v>
      </c>
      <c r="IO52" t="e">
        <f>AND(#REF!,"AAAAAH1if/g=")</f>
        <v>#REF!</v>
      </c>
      <c r="IP52" t="e">
        <f>AND(#REF!,"AAAAAH1if/k=")</f>
        <v>#REF!</v>
      </c>
      <c r="IQ52" t="e">
        <f>AND(#REF!,"AAAAAH1if/o=")</f>
        <v>#REF!</v>
      </c>
      <c r="IR52" t="e">
        <f>AND(#REF!,"AAAAAH1if/s=")</f>
        <v>#REF!</v>
      </c>
      <c r="IS52" t="e">
        <f>AND(#REF!,"AAAAAH1if/w=")</f>
        <v>#REF!</v>
      </c>
      <c r="IT52" t="e">
        <f>AND(#REF!,"AAAAAH1if/0=")</f>
        <v>#REF!</v>
      </c>
      <c r="IU52" t="e">
        <f>AND(#REF!,"AAAAAH1if/4=")</f>
        <v>#REF!</v>
      </c>
      <c r="IV52" t="e">
        <f>AND(#REF!,"AAAAAH1if/8=")</f>
        <v>#REF!</v>
      </c>
    </row>
    <row r="53" spans="1:256">
      <c r="A53" t="e">
        <f>AND(#REF!,"AAAAAHv//gA=")</f>
        <v>#REF!</v>
      </c>
      <c r="B53" t="e">
        <f>AND(#REF!,"AAAAAHv//gE=")</f>
        <v>#REF!</v>
      </c>
      <c r="C53" t="e">
        <f>AND(#REF!,"AAAAAHv//gI=")</f>
        <v>#REF!</v>
      </c>
      <c r="D53" t="e">
        <f>AND(#REF!,"AAAAAHv//gM=")</f>
        <v>#REF!</v>
      </c>
      <c r="E53" t="e">
        <f>AND(#REF!,"AAAAAHv//gQ=")</f>
        <v>#REF!</v>
      </c>
      <c r="F53" t="e">
        <f>AND(#REF!,"AAAAAHv//gU=")</f>
        <v>#REF!</v>
      </c>
      <c r="G53" t="e">
        <f>AND(#REF!,"AAAAAHv//gY=")</f>
        <v>#REF!</v>
      </c>
      <c r="H53" t="e">
        <f>AND(#REF!,"AAAAAHv//gc=")</f>
        <v>#REF!</v>
      </c>
      <c r="I53" t="e">
        <f>AND(#REF!,"AAAAAHv//gg=")</f>
        <v>#REF!</v>
      </c>
      <c r="J53" t="e">
        <f>AND(#REF!,"AAAAAHv//gk=")</f>
        <v>#REF!</v>
      </c>
      <c r="K53" t="e">
        <f>AND(#REF!,"AAAAAHv//go=")</f>
        <v>#REF!</v>
      </c>
      <c r="L53" t="e">
        <f>IF(#REF!,"AAAAAHv//gs=",0)</f>
        <v>#REF!</v>
      </c>
      <c r="M53" t="e">
        <f>AND(#REF!,"AAAAAHv//gw=")</f>
        <v>#REF!</v>
      </c>
      <c r="N53" t="e">
        <f>AND(#REF!,"AAAAAHv//g0=")</f>
        <v>#REF!</v>
      </c>
      <c r="O53" t="e">
        <f>AND(#REF!,"AAAAAHv//g4=")</f>
        <v>#REF!</v>
      </c>
      <c r="P53" t="e">
        <f>AND(#REF!,"AAAAAHv//g8=")</f>
        <v>#REF!</v>
      </c>
      <c r="Q53" t="e">
        <f>AND(#REF!,"AAAAAHv//hA=")</f>
        <v>#REF!</v>
      </c>
      <c r="R53" t="e">
        <f>AND(#REF!,"AAAAAHv//hE=")</f>
        <v>#REF!</v>
      </c>
      <c r="S53" t="e">
        <f>AND(#REF!,"AAAAAHv//hI=")</f>
        <v>#REF!</v>
      </c>
      <c r="T53" t="e">
        <f>AND(#REF!,"AAAAAHv//hM=")</f>
        <v>#REF!</v>
      </c>
      <c r="U53" t="e">
        <f>AND(#REF!,"AAAAAHv//hQ=")</f>
        <v>#REF!</v>
      </c>
      <c r="V53" t="e">
        <f>AND(#REF!,"AAAAAHv//hU=")</f>
        <v>#REF!</v>
      </c>
      <c r="W53" t="e">
        <f>AND(#REF!,"AAAAAHv//hY=")</f>
        <v>#REF!</v>
      </c>
      <c r="X53" t="e">
        <f>AND(#REF!,"AAAAAHv//hc=")</f>
        <v>#REF!</v>
      </c>
      <c r="Y53" t="e">
        <f>AND(#REF!,"AAAAAHv//hg=")</f>
        <v>#REF!</v>
      </c>
      <c r="Z53" t="e">
        <f>AND(#REF!,"AAAAAHv//hk=")</f>
        <v>#REF!</v>
      </c>
      <c r="AA53" t="e">
        <f>AND(#REF!,"AAAAAHv//ho=")</f>
        <v>#REF!</v>
      </c>
      <c r="AB53" t="e">
        <f>AND(#REF!,"AAAAAHv//hs=")</f>
        <v>#REF!</v>
      </c>
      <c r="AC53" t="e">
        <f>AND(#REF!,"AAAAAHv//hw=")</f>
        <v>#REF!</v>
      </c>
      <c r="AD53" t="e">
        <f>AND(#REF!,"AAAAAHv//h0=")</f>
        <v>#REF!</v>
      </c>
      <c r="AE53" t="e">
        <f>AND(#REF!,"AAAAAHv//h4=")</f>
        <v>#REF!</v>
      </c>
      <c r="AF53" t="e">
        <f>AND(#REF!,"AAAAAHv//h8=")</f>
        <v>#REF!</v>
      </c>
      <c r="AG53" t="e">
        <f>AND(#REF!,"AAAAAHv//iA=")</f>
        <v>#REF!</v>
      </c>
      <c r="AH53" t="e">
        <f>AND(#REF!,"AAAAAHv//iE=")</f>
        <v>#REF!</v>
      </c>
      <c r="AI53" t="e">
        <f>AND(#REF!,"AAAAAHv//iI=")</f>
        <v>#REF!</v>
      </c>
      <c r="AJ53" t="e">
        <f>AND(#REF!,"AAAAAHv//iM=")</f>
        <v>#REF!</v>
      </c>
      <c r="AK53" t="e">
        <f>AND(#REF!,"AAAAAHv//iQ=")</f>
        <v>#REF!</v>
      </c>
      <c r="AL53" t="e">
        <f>AND(#REF!,"AAAAAHv//iU=")</f>
        <v>#REF!</v>
      </c>
      <c r="AM53" t="e">
        <f>AND(#REF!,"AAAAAHv//iY=")</f>
        <v>#REF!</v>
      </c>
      <c r="AN53" t="e">
        <f>AND(#REF!,"AAAAAHv//ic=")</f>
        <v>#REF!</v>
      </c>
      <c r="AO53" t="e">
        <f>AND(#REF!,"AAAAAHv//ig=")</f>
        <v>#REF!</v>
      </c>
      <c r="AP53" t="e">
        <f>AND(#REF!,"AAAAAHv//ik=")</f>
        <v>#REF!</v>
      </c>
      <c r="AQ53" t="e">
        <f>AND(#REF!,"AAAAAHv//io=")</f>
        <v>#REF!</v>
      </c>
      <c r="AR53" t="e">
        <f>AND(#REF!,"AAAAAHv//is=")</f>
        <v>#REF!</v>
      </c>
      <c r="AS53" t="e">
        <f>AND(#REF!,"AAAAAHv//iw=")</f>
        <v>#REF!</v>
      </c>
      <c r="AT53" t="e">
        <f>AND(#REF!,"AAAAAHv//i0=")</f>
        <v>#REF!</v>
      </c>
      <c r="AU53" t="e">
        <f>AND(#REF!,"AAAAAHv//i4=")</f>
        <v>#REF!</v>
      </c>
      <c r="AV53" t="e">
        <f>AND(#REF!,"AAAAAHv//i8=")</f>
        <v>#REF!</v>
      </c>
      <c r="AW53" t="e">
        <f>AND(#REF!,"AAAAAHv//jA=")</f>
        <v>#REF!</v>
      </c>
      <c r="AX53" t="e">
        <f>AND(#REF!,"AAAAAHv//jE=")</f>
        <v>#REF!</v>
      </c>
      <c r="AY53" t="e">
        <f>AND(#REF!,"AAAAAHv//jI=")</f>
        <v>#REF!</v>
      </c>
      <c r="AZ53" t="e">
        <f>AND(#REF!,"AAAAAHv//jM=")</f>
        <v>#REF!</v>
      </c>
      <c r="BA53" t="e">
        <f>AND(#REF!,"AAAAAHv//jQ=")</f>
        <v>#REF!</v>
      </c>
      <c r="BB53" t="e">
        <f>IF(#REF!,"AAAAAHv//jU=",0)</f>
        <v>#REF!</v>
      </c>
      <c r="BC53" t="e">
        <f>AND(#REF!,"AAAAAHv//jY=")</f>
        <v>#REF!</v>
      </c>
      <c r="BD53" t="e">
        <f>AND(#REF!,"AAAAAHv//jc=")</f>
        <v>#REF!</v>
      </c>
      <c r="BE53" t="e">
        <f>AND(#REF!,"AAAAAHv//jg=")</f>
        <v>#REF!</v>
      </c>
      <c r="BF53" t="e">
        <f>AND(#REF!,"AAAAAHv//jk=")</f>
        <v>#REF!</v>
      </c>
      <c r="BG53" t="e">
        <f>AND(#REF!,"AAAAAHv//jo=")</f>
        <v>#REF!</v>
      </c>
      <c r="BH53" t="e">
        <f>AND(#REF!,"AAAAAHv//js=")</f>
        <v>#REF!</v>
      </c>
      <c r="BI53" t="e">
        <f>AND(#REF!,"AAAAAHv//jw=")</f>
        <v>#REF!</v>
      </c>
      <c r="BJ53" t="e">
        <f>AND(#REF!,"AAAAAHv//j0=")</f>
        <v>#REF!</v>
      </c>
      <c r="BK53" t="e">
        <f>AND(#REF!,"AAAAAHv//j4=")</f>
        <v>#REF!</v>
      </c>
      <c r="BL53" t="e">
        <f>AND(#REF!,"AAAAAHv//j8=")</f>
        <v>#REF!</v>
      </c>
      <c r="BM53" t="e">
        <f>AND(#REF!,"AAAAAHv//kA=")</f>
        <v>#REF!</v>
      </c>
      <c r="BN53" t="e">
        <f>AND(#REF!,"AAAAAHv//kE=")</f>
        <v>#REF!</v>
      </c>
      <c r="BO53" t="e">
        <f>AND(#REF!,"AAAAAHv//kI=")</f>
        <v>#REF!</v>
      </c>
      <c r="BP53" t="e">
        <f>AND(#REF!,"AAAAAHv//kM=")</f>
        <v>#REF!</v>
      </c>
      <c r="BQ53" t="e">
        <f>AND(#REF!,"AAAAAHv//kQ=")</f>
        <v>#REF!</v>
      </c>
      <c r="BR53" t="e">
        <f>AND(#REF!,"AAAAAHv//kU=")</f>
        <v>#REF!</v>
      </c>
      <c r="BS53" t="e">
        <f>AND(#REF!,"AAAAAHv//kY=")</f>
        <v>#REF!</v>
      </c>
      <c r="BT53" t="e">
        <f>AND(#REF!,"AAAAAHv//kc=")</f>
        <v>#REF!</v>
      </c>
      <c r="BU53" t="e">
        <f>AND(#REF!,"AAAAAHv//kg=")</f>
        <v>#REF!</v>
      </c>
      <c r="BV53" t="e">
        <f>AND(#REF!,"AAAAAHv//kk=")</f>
        <v>#REF!</v>
      </c>
      <c r="BW53" t="e">
        <f>AND(#REF!,"AAAAAHv//ko=")</f>
        <v>#REF!</v>
      </c>
      <c r="BX53" t="e">
        <f>AND(#REF!,"AAAAAHv//ks=")</f>
        <v>#REF!</v>
      </c>
      <c r="BY53" t="e">
        <f>AND(#REF!,"AAAAAHv//kw=")</f>
        <v>#REF!</v>
      </c>
      <c r="BZ53" t="e">
        <f>AND(#REF!,"AAAAAHv//k0=")</f>
        <v>#REF!</v>
      </c>
      <c r="CA53" t="e">
        <f>AND(#REF!,"AAAAAHv//k4=")</f>
        <v>#REF!</v>
      </c>
      <c r="CB53" t="e">
        <f>AND(#REF!,"AAAAAHv//k8=")</f>
        <v>#REF!</v>
      </c>
      <c r="CC53" t="e">
        <f>AND(#REF!,"AAAAAHv//lA=")</f>
        <v>#REF!</v>
      </c>
      <c r="CD53" t="e">
        <f>AND(#REF!,"AAAAAHv//lE=")</f>
        <v>#REF!</v>
      </c>
      <c r="CE53" t="e">
        <f>AND(#REF!,"AAAAAHv//lI=")</f>
        <v>#REF!</v>
      </c>
      <c r="CF53" t="e">
        <f>AND(#REF!,"AAAAAHv//lM=")</f>
        <v>#REF!</v>
      </c>
      <c r="CG53" t="e">
        <f>AND(#REF!,"AAAAAHv//lQ=")</f>
        <v>#REF!</v>
      </c>
      <c r="CH53" t="e">
        <f>AND(#REF!,"AAAAAHv//lU=")</f>
        <v>#REF!</v>
      </c>
      <c r="CI53" t="e">
        <f>AND(#REF!,"AAAAAHv//lY=")</f>
        <v>#REF!</v>
      </c>
      <c r="CJ53" t="e">
        <f>AND(#REF!,"AAAAAHv//lc=")</f>
        <v>#REF!</v>
      </c>
      <c r="CK53" t="e">
        <f>AND(#REF!,"AAAAAHv//lg=")</f>
        <v>#REF!</v>
      </c>
      <c r="CL53" t="e">
        <f>AND(#REF!,"AAAAAHv//lk=")</f>
        <v>#REF!</v>
      </c>
      <c r="CM53" t="e">
        <f>AND(#REF!,"AAAAAHv//lo=")</f>
        <v>#REF!</v>
      </c>
      <c r="CN53" t="e">
        <f>AND(#REF!,"AAAAAHv//ls=")</f>
        <v>#REF!</v>
      </c>
      <c r="CO53" t="e">
        <f>AND(#REF!,"AAAAAHv//lw=")</f>
        <v>#REF!</v>
      </c>
      <c r="CP53" t="e">
        <f>AND(#REF!,"AAAAAHv//l0=")</f>
        <v>#REF!</v>
      </c>
      <c r="CQ53" t="e">
        <f>AND(#REF!,"AAAAAHv//l4=")</f>
        <v>#REF!</v>
      </c>
      <c r="CR53" t="e">
        <f>IF(#REF!,"AAAAAHv//l8=",0)</f>
        <v>#REF!</v>
      </c>
      <c r="CS53" t="e">
        <f>AND(#REF!,"AAAAAHv//mA=")</f>
        <v>#REF!</v>
      </c>
      <c r="CT53" t="e">
        <f>AND(#REF!,"AAAAAHv//mE=")</f>
        <v>#REF!</v>
      </c>
      <c r="CU53" t="e">
        <f>AND(#REF!,"AAAAAHv//mI=")</f>
        <v>#REF!</v>
      </c>
      <c r="CV53" t="e">
        <f>AND(#REF!,"AAAAAHv//mM=")</f>
        <v>#REF!</v>
      </c>
      <c r="CW53" t="e">
        <f>AND(#REF!,"AAAAAHv//mQ=")</f>
        <v>#REF!</v>
      </c>
      <c r="CX53" t="e">
        <f>AND(#REF!,"AAAAAHv//mU=")</f>
        <v>#REF!</v>
      </c>
      <c r="CY53" t="e">
        <f>AND(#REF!,"AAAAAHv//mY=")</f>
        <v>#REF!</v>
      </c>
      <c r="CZ53" t="e">
        <f>AND(#REF!,"AAAAAHv//mc=")</f>
        <v>#REF!</v>
      </c>
      <c r="DA53" t="e">
        <f>AND(#REF!,"AAAAAHv//mg=")</f>
        <v>#REF!</v>
      </c>
      <c r="DB53" t="e">
        <f>AND(#REF!,"AAAAAHv//mk=")</f>
        <v>#REF!</v>
      </c>
      <c r="DC53" t="e">
        <f>AND(#REF!,"AAAAAHv//mo=")</f>
        <v>#REF!</v>
      </c>
      <c r="DD53" t="e">
        <f>AND(#REF!,"AAAAAHv//ms=")</f>
        <v>#REF!</v>
      </c>
      <c r="DE53" t="e">
        <f>AND(#REF!,"AAAAAHv//mw=")</f>
        <v>#REF!</v>
      </c>
      <c r="DF53" t="e">
        <f>AND(#REF!,"AAAAAHv//m0=")</f>
        <v>#REF!</v>
      </c>
      <c r="DG53" t="e">
        <f>AND(#REF!,"AAAAAHv//m4=")</f>
        <v>#REF!</v>
      </c>
      <c r="DH53" t="e">
        <f>AND(#REF!,"AAAAAHv//m8=")</f>
        <v>#REF!</v>
      </c>
      <c r="DI53" t="e">
        <f>AND(#REF!,"AAAAAHv//nA=")</f>
        <v>#REF!</v>
      </c>
      <c r="DJ53" t="e">
        <f>AND(#REF!,"AAAAAHv//nE=")</f>
        <v>#REF!</v>
      </c>
      <c r="DK53" t="e">
        <f>AND(#REF!,"AAAAAHv//nI=")</f>
        <v>#REF!</v>
      </c>
      <c r="DL53" t="e">
        <f>AND(#REF!,"AAAAAHv//nM=")</f>
        <v>#REF!</v>
      </c>
      <c r="DM53" t="e">
        <f>AND(#REF!,"AAAAAHv//nQ=")</f>
        <v>#REF!</v>
      </c>
      <c r="DN53" t="e">
        <f>AND(#REF!,"AAAAAHv//nU=")</f>
        <v>#REF!</v>
      </c>
      <c r="DO53" t="e">
        <f>AND(#REF!,"AAAAAHv//nY=")</f>
        <v>#REF!</v>
      </c>
      <c r="DP53" t="e">
        <f>AND(#REF!,"AAAAAHv//nc=")</f>
        <v>#REF!</v>
      </c>
      <c r="DQ53" t="e">
        <f>AND(#REF!,"AAAAAHv//ng=")</f>
        <v>#REF!</v>
      </c>
      <c r="DR53" t="e">
        <f>AND(#REF!,"AAAAAHv//nk=")</f>
        <v>#REF!</v>
      </c>
      <c r="DS53" t="e">
        <f>AND(#REF!,"AAAAAHv//no=")</f>
        <v>#REF!</v>
      </c>
      <c r="DT53" t="e">
        <f>AND(#REF!,"AAAAAHv//ns=")</f>
        <v>#REF!</v>
      </c>
      <c r="DU53" t="e">
        <f>AND(#REF!,"AAAAAHv//nw=")</f>
        <v>#REF!</v>
      </c>
      <c r="DV53" t="e">
        <f>AND(#REF!,"AAAAAHv//n0=")</f>
        <v>#REF!</v>
      </c>
      <c r="DW53" t="e">
        <f>AND(#REF!,"AAAAAHv//n4=")</f>
        <v>#REF!</v>
      </c>
      <c r="DX53" t="e">
        <f>AND(#REF!,"AAAAAHv//n8=")</f>
        <v>#REF!</v>
      </c>
      <c r="DY53" t="e">
        <f>AND(#REF!,"AAAAAHv//oA=")</f>
        <v>#REF!</v>
      </c>
      <c r="DZ53" t="e">
        <f>AND(#REF!,"AAAAAHv//oE=")</f>
        <v>#REF!</v>
      </c>
      <c r="EA53" t="e">
        <f>AND(#REF!,"AAAAAHv//oI=")</f>
        <v>#REF!</v>
      </c>
      <c r="EB53" t="e">
        <f>AND(#REF!,"AAAAAHv//oM=")</f>
        <v>#REF!</v>
      </c>
      <c r="EC53" t="e">
        <f>AND(#REF!,"AAAAAHv//oQ=")</f>
        <v>#REF!</v>
      </c>
      <c r="ED53" t="e">
        <f>AND(#REF!,"AAAAAHv//oU=")</f>
        <v>#REF!</v>
      </c>
      <c r="EE53" t="e">
        <f>AND(#REF!,"AAAAAHv//oY=")</f>
        <v>#REF!</v>
      </c>
      <c r="EF53" t="e">
        <f>AND(#REF!,"AAAAAHv//oc=")</f>
        <v>#REF!</v>
      </c>
      <c r="EG53" t="e">
        <f>AND(#REF!,"AAAAAHv//og=")</f>
        <v>#REF!</v>
      </c>
      <c r="EH53" t="e">
        <f>IF(#REF!,"AAAAAHv//ok=",0)</f>
        <v>#REF!</v>
      </c>
      <c r="EI53" t="e">
        <f>AND(#REF!,"AAAAAHv//oo=")</f>
        <v>#REF!</v>
      </c>
      <c r="EJ53" t="e">
        <f>AND(#REF!,"AAAAAHv//os=")</f>
        <v>#REF!</v>
      </c>
      <c r="EK53" t="e">
        <f>AND(#REF!,"AAAAAHv//ow=")</f>
        <v>#REF!</v>
      </c>
      <c r="EL53" t="e">
        <f>AND(#REF!,"AAAAAHv//o0=")</f>
        <v>#REF!</v>
      </c>
      <c r="EM53" t="e">
        <f>AND(#REF!,"AAAAAHv//o4=")</f>
        <v>#REF!</v>
      </c>
      <c r="EN53" t="e">
        <f>AND(#REF!,"AAAAAHv//o8=")</f>
        <v>#REF!</v>
      </c>
      <c r="EO53" t="e">
        <f>AND(#REF!,"AAAAAHv//pA=")</f>
        <v>#REF!</v>
      </c>
      <c r="EP53" t="e">
        <f>AND(#REF!,"AAAAAHv//pE=")</f>
        <v>#REF!</v>
      </c>
      <c r="EQ53" t="e">
        <f>AND(#REF!,"AAAAAHv//pI=")</f>
        <v>#REF!</v>
      </c>
      <c r="ER53" t="e">
        <f>AND(#REF!,"AAAAAHv//pM=")</f>
        <v>#REF!</v>
      </c>
      <c r="ES53" t="e">
        <f>AND(#REF!,"AAAAAHv//pQ=")</f>
        <v>#REF!</v>
      </c>
      <c r="ET53" t="e">
        <f>AND(#REF!,"AAAAAHv//pU=")</f>
        <v>#REF!</v>
      </c>
      <c r="EU53" t="e">
        <f>AND(#REF!,"AAAAAHv//pY=")</f>
        <v>#REF!</v>
      </c>
      <c r="EV53" t="e">
        <f>AND(#REF!,"AAAAAHv//pc=")</f>
        <v>#REF!</v>
      </c>
      <c r="EW53" t="e">
        <f>AND(#REF!,"AAAAAHv//pg=")</f>
        <v>#REF!</v>
      </c>
      <c r="EX53" t="e">
        <f>AND(#REF!,"AAAAAHv//pk=")</f>
        <v>#REF!</v>
      </c>
      <c r="EY53" t="e">
        <f>AND(#REF!,"AAAAAHv//po=")</f>
        <v>#REF!</v>
      </c>
      <c r="EZ53" t="e">
        <f>AND(#REF!,"AAAAAHv//ps=")</f>
        <v>#REF!</v>
      </c>
      <c r="FA53" t="e">
        <f>AND(#REF!,"AAAAAHv//pw=")</f>
        <v>#REF!</v>
      </c>
      <c r="FB53" t="e">
        <f>AND(#REF!,"AAAAAHv//p0=")</f>
        <v>#REF!</v>
      </c>
      <c r="FC53" t="e">
        <f>AND(#REF!,"AAAAAHv//p4=")</f>
        <v>#REF!</v>
      </c>
      <c r="FD53" t="e">
        <f>AND(#REF!,"AAAAAHv//p8=")</f>
        <v>#REF!</v>
      </c>
      <c r="FE53" t="e">
        <f>AND(#REF!,"AAAAAHv//qA=")</f>
        <v>#REF!</v>
      </c>
      <c r="FF53" t="e">
        <f>AND(#REF!,"AAAAAHv//qE=")</f>
        <v>#REF!</v>
      </c>
      <c r="FG53" t="e">
        <f>AND(#REF!,"AAAAAHv//qI=")</f>
        <v>#REF!</v>
      </c>
      <c r="FH53" t="e">
        <f>AND(#REF!,"AAAAAHv//qM=")</f>
        <v>#REF!</v>
      </c>
      <c r="FI53" t="e">
        <f>AND(#REF!,"AAAAAHv//qQ=")</f>
        <v>#REF!</v>
      </c>
      <c r="FJ53" t="e">
        <f>AND(#REF!,"AAAAAHv//qU=")</f>
        <v>#REF!</v>
      </c>
      <c r="FK53" t="e">
        <f>AND(#REF!,"AAAAAHv//qY=")</f>
        <v>#REF!</v>
      </c>
      <c r="FL53" t="e">
        <f>AND(#REF!,"AAAAAHv//qc=")</f>
        <v>#REF!</v>
      </c>
      <c r="FM53" t="e">
        <f>AND(#REF!,"AAAAAHv//qg=")</f>
        <v>#REF!</v>
      </c>
      <c r="FN53" t="e">
        <f>AND(#REF!,"AAAAAHv//qk=")</f>
        <v>#REF!</v>
      </c>
      <c r="FO53" t="e">
        <f>AND(#REF!,"AAAAAHv//qo=")</f>
        <v>#REF!</v>
      </c>
      <c r="FP53" t="e">
        <f>AND(#REF!,"AAAAAHv//qs=")</f>
        <v>#REF!</v>
      </c>
      <c r="FQ53" t="e">
        <f>AND(#REF!,"AAAAAHv//qw=")</f>
        <v>#REF!</v>
      </c>
      <c r="FR53" t="e">
        <f>AND(#REF!,"AAAAAHv//q0=")</f>
        <v>#REF!</v>
      </c>
      <c r="FS53" t="e">
        <f>AND(#REF!,"AAAAAHv//q4=")</f>
        <v>#REF!</v>
      </c>
      <c r="FT53" t="e">
        <f>AND(#REF!,"AAAAAHv//q8=")</f>
        <v>#REF!</v>
      </c>
      <c r="FU53" t="e">
        <f>AND(#REF!,"AAAAAHv//rA=")</f>
        <v>#REF!</v>
      </c>
      <c r="FV53" t="e">
        <f>AND(#REF!,"AAAAAHv//rE=")</f>
        <v>#REF!</v>
      </c>
      <c r="FW53" t="e">
        <f>AND(#REF!,"AAAAAHv//rI=")</f>
        <v>#REF!</v>
      </c>
      <c r="FX53" t="e">
        <f>IF(#REF!,"AAAAAHv//rM=",0)</f>
        <v>#REF!</v>
      </c>
      <c r="FY53" t="e">
        <f>AND(#REF!,"AAAAAHv//rQ=")</f>
        <v>#REF!</v>
      </c>
      <c r="FZ53" t="e">
        <f>AND(#REF!,"AAAAAHv//rU=")</f>
        <v>#REF!</v>
      </c>
      <c r="GA53" t="e">
        <f>AND(#REF!,"AAAAAHv//rY=")</f>
        <v>#REF!</v>
      </c>
      <c r="GB53" t="e">
        <f>AND(#REF!,"AAAAAHv//rc=")</f>
        <v>#REF!</v>
      </c>
      <c r="GC53" t="e">
        <f>AND(#REF!,"AAAAAHv//rg=")</f>
        <v>#REF!</v>
      </c>
      <c r="GD53" t="e">
        <f>AND(#REF!,"AAAAAHv//rk=")</f>
        <v>#REF!</v>
      </c>
      <c r="GE53" t="e">
        <f>AND(#REF!,"AAAAAHv//ro=")</f>
        <v>#REF!</v>
      </c>
      <c r="GF53" t="e">
        <f>AND(#REF!,"AAAAAHv//rs=")</f>
        <v>#REF!</v>
      </c>
      <c r="GG53" t="e">
        <f>AND(#REF!,"AAAAAHv//rw=")</f>
        <v>#REF!</v>
      </c>
      <c r="GH53" t="e">
        <f>AND(#REF!,"AAAAAHv//r0=")</f>
        <v>#REF!</v>
      </c>
      <c r="GI53" t="e">
        <f>AND(#REF!,"AAAAAHv//r4=")</f>
        <v>#REF!</v>
      </c>
      <c r="GJ53" t="e">
        <f>AND(#REF!,"AAAAAHv//r8=")</f>
        <v>#REF!</v>
      </c>
      <c r="GK53" t="e">
        <f>AND(#REF!,"AAAAAHv//sA=")</f>
        <v>#REF!</v>
      </c>
      <c r="GL53" t="e">
        <f>AND(#REF!,"AAAAAHv//sE=")</f>
        <v>#REF!</v>
      </c>
      <c r="GM53" t="e">
        <f>AND(#REF!,"AAAAAHv//sI=")</f>
        <v>#REF!</v>
      </c>
      <c r="GN53" t="e">
        <f>AND(#REF!,"AAAAAHv//sM=")</f>
        <v>#REF!</v>
      </c>
      <c r="GO53" t="e">
        <f>AND(#REF!,"AAAAAHv//sQ=")</f>
        <v>#REF!</v>
      </c>
      <c r="GP53" t="e">
        <f>AND(#REF!,"AAAAAHv//sU=")</f>
        <v>#REF!</v>
      </c>
      <c r="GQ53" t="e">
        <f>AND(#REF!,"AAAAAHv//sY=")</f>
        <v>#REF!</v>
      </c>
      <c r="GR53" t="e">
        <f>AND(#REF!,"AAAAAHv//sc=")</f>
        <v>#REF!</v>
      </c>
      <c r="GS53" t="e">
        <f>AND(#REF!,"AAAAAHv//sg=")</f>
        <v>#REF!</v>
      </c>
      <c r="GT53" t="e">
        <f>AND(#REF!,"AAAAAHv//sk=")</f>
        <v>#REF!</v>
      </c>
      <c r="GU53" t="e">
        <f>AND(#REF!,"AAAAAHv//so=")</f>
        <v>#REF!</v>
      </c>
      <c r="GV53" t="e">
        <f>AND(#REF!,"AAAAAHv//ss=")</f>
        <v>#REF!</v>
      </c>
      <c r="GW53" t="e">
        <f>AND(#REF!,"AAAAAHv//sw=")</f>
        <v>#REF!</v>
      </c>
      <c r="GX53" t="e">
        <f>AND(#REF!,"AAAAAHv//s0=")</f>
        <v>#REF!</v>
      </c>
      <c r="GY53" t="e">
        <f>AND(#REF!,"AAAAAHv//s4=")</f>
        <v>#REF!</v>
      </c>
      <c r="GZ53" t="e">
        <f>AND(#REF!,"AAAAAHv//s8=")</f>
        <v>#REF!</v>
      </c>
      <c r="HA53" t="e">
        <f>AND(#REF!,"AAAAAHv//tA=")</f>
        <v>#REF!</v>
      </c>
      <c r="HB53" t="e">
        <f>AND(#REF!,"AAAAAHv//tE=")</f>
        <v>#REF!</v>
      </c>
      <c r="HC53" t="e">
        <f>AND(#REF!,"AAAAAHv//tI=")</f>
        <v>#REF!</v>
      </c>
      <c r="HD53" t="e">
        <f>AND(#REF!,"AAAAAHv//tM=")</f>
        <v>#REF!</v>
      </c>
      <c r="HE53" t="e">
        <f>AND(#REF!,"AAAAAHv//tQ=")</f>
        <v>#REF!</v>
      </c>
      <c r="HF53" t="e">
        <f>AND(#REF!,"AAAAAHv//tU=")</f>
        <v>#REF!</v>
      </c>
      <c r="HG53" t="e">
        <f>AND(#REF!,"AAAAAHv//tY=")</f>
        <v>#REF!</v>
      </c>
      <c r="HH53" t="e">
        <f>AND(#REF!,"AAAAAHv//tc=")</f>
        <v>#REF!</v>
      </c>
      <c r="HI53" t="e">
        <f>AND(#REF!,"AAAAAHv//tg=")</f>
        <v>#REF!</v>
      </c>
      <c r="HJ53" t="e">
        <f>AND(#REF!,"AAAAAHv//tk=")</f>
        <v>#REF!</v>
      </c>
      <c r="HK53" t="e">
        <f>AND(#REF!,"AAAAAHv//to=")</f>
        <v>#REF!</v>
      </c>
      <c r="HL53" t="e">
        <f>AND(#REF!,"AAAAAHv//ts=")</f>
        <v>#REF!</v>
      </c>
      <c r="HM53" t="e">
        <f>AND(#REF!,"AAAAAHv//tw=")</f>
        <v>#REF!</v>
      </c>
      <c r="HN53" t="e">
        <f>IF(#REF!,"AAAAAHv//t0=",0)</f>
        <v>#REF!</v>
      </c>
      <c r="HO53" t="e">
        <f>AND(#REF!,"AAAAAHv//t4=")</f>
        <v>#REF!</v>
      </c>
      <c r="HP53" t="e">
        <f>AND(#REF!,"AAAAAHv//t8=")</f>
        <v>#REF!</v>
      </c>
      <c r="HQ53" t="e">
        <f>AND(#REF!,"AAAAAHv//uA=")</f>
        <v>#REF!</v>
      </c>
      <c r="HR53" t="e">
        <f>AND(#REF!,"AAAAAHv//uE=")</f>
        <v>#REF!</v>
      </c>
      <c r="HS53" t="e">
        <f>AND(#REF!,"AAAAAHv//uI=")</f>
        <v>#REF!</v>
      </c>
      <c r="HT53" t="e">
        <f>AND(#REF!,"AAAAAHv//uM=")</f>
        <v>#REF!</v>
      </c>
      <c r="HU53" t="e">
        <f>AND(#REF!,"AAAAAHv//uQ=")</f>
        <v>#REF!</v>
      </c>
      <c r="HV53" t="e">
        <f>AND(#REF!,"AAAAAHv//uU=")</f>
        <v>#REF!</v>
      </c>
      <c r="HW53" t="e">
        <f>AND(#REF!,"AAAAAHv//uY=")</f>
        <v>#REF!</v>
      </c>
      <c r="HX53" t="e">
        <f>AND(#REF!,"AAAAAHv//uc=")</f>
        <v>#REF!</v>
      </c>
      <c r="HY53" t="e">
        <f>AND(#REF!,"AAAAAHv//ug=")</f>
        <v>#REF!</v>
      </c>
      <c r="HZ53" t="e">
        <f>AND(#REF!,"AAAAAHv//uk=")</f>
        <v>#REF!</v>
      </c>
      <c r="IA53" t="e">
        <f>AND(#REF!,"AAAAAHv//uo=")</f>
        <v>#REF!</v>
      </c>
      <c r="IB53" t="e">
        <f>AND(#REF!,"AAAAAHv//us=")</f>
        <v>#REF!</v>
      </c>
      <c r="IC53" t="e">
        <f>AND(#REF!,"AAAAAHv//uw=")</f>
        <v>#REF!</v>
      </c>
      <c r="ID53" t="e">
        <f>AND(#REF!,"AAAAAHv//u0=")</f>
        <v>#REF!</v>
      </c>
      <c r="IE53" t="e">
        <f>AND(#REF!,"AAAAAHv//u4=")</f>
        <v>#REF!</v>
      </c>
      <c r="IF53" t="e">
        <f>AND(#REF!,"AAAAAHv//u8=")</f>
        <v>#REF!</v>
      </c>
      <c r="IG53" t="e">
        <f>AND(#REF!,"AAAAAHv//vA=")</f>
        <v>#REF!</v>
      </c>
      <c r="IH53" t="e">
        <f>AND(#REF!,"AAAAAHv//vE=")</f>
        <v>#REF!</v>
      </c>
      <c r="II53" t="e">
        <f>AND(#REF!,"AAAAAHv//vI=")</f>
        <v>#REF!</v>
      </c>
      <c r="IJ53" t="e">
        <f>AND(#REF!,"AAAAAHv//vM=")</f>
        <v>#REF!</v>
      </c>
      <c r="IK53" t="e">
        <f>AND(#REF!,"AAAAAHv//vQ=")</f>
        <v>#REF!</v>
      </c>
      <c r="IL53" t="e">
        <f>AND(#REF!,"AAAAAHv//vU=")</f>
        <v>#REF!</v>
      </c>
      <c r="IM53" t="e">
        <f>AND(#REF!,"AAAAAHv//vY=")</f>
        <v>#REF!</v>
      </c>
      <c r="IN53" t="e">
        <f>AND(#REF!,"AAAAAHv//vc=")</f>
        <v>#REF!</v>
      </c>
      <c r="IO53" t="e">
        <f>AND(#REF!,"AAAAAHv//vg=")</f>
        <v>#REF!</v>
      </c>
      <c r="IP53" t="e">
        <f>AND(#REF!,"AAAAAHv//vk=")</f>
        <v>#REF!</v>
      </c>
      <c r="IQ53" t="e">
        <f>AND(#REF!,"AAAAAHv//vo=")</f>
        <v>#REF!</v>
      </c>
      <c r="IR53" t="e">
        <f>AND(#REF!,"AAAAAHv//vs=")</f>
        <v>#REF!</v>
      </c>
      <c r="IS53" t="e">
        <f>AND(#REF!,"AAAAAHv//vw=")</f>
        <v>#REF!</v>
      </c>
      <c r="IT53" t="e">
        <f>AND(#REF!,"AAAAAHv//v0=")</f>
        <v>#REF!</v>
      </c>
      <c r="IU53" t="e">
        <f>AND(#REF!,"AAAAAHv//v4=")</f>
        <v>#REF!</v>
      </c>
      <c r="IV53" t="e">
        <f>AND(#REF!,"AAAAAHv//v8=")</f>
        <v>#REF!</v>
      </c>
    </row>
    <row r="54" spans="1:256">
      <c r="A54" t="e">
        <f>AND(#REF!,"AAAAAH371QA=")</f>
        <v>#REF!</v>
      </c>
      <c r="B54" t="e">
        <f>AND(#REF!,"AAAAAH371QE=")</f>
        <v>#REF!</v>
      </c>
      <c r="C54" t="e">
        <f>AND(#REF!,"AAAAAH371QI=")</f>
        <v>#REF!</v>
      </c>
      <c r="D54" t="e">
        <f>AND(#REF!,"AAAAAH371QM=")</f>
        <v>#REF!</v>
      </c>
      <c r="E54" t="e">
        <f>AND(#REF!,"AAAAAH371QQ=")</f>
        <v>#REF!</v>
      </c>
      <c r="F54" t="e">
        <f>AND(#REF!,"AAAAAH371QU=")</f>
        <v>#REF!</v>
      </c>
      <c r="G54" t="e">
        <f>AND(#REF!,"AAAAAH371QY=")</f>
        <v>#REF!</v>
      </c>
      <c r="H54" t="e">
        <f>IF(#REF!,"AAAAAH371Qc=",0)</f>
        <v>#REF!</v>
      </c>
      <c r="I54" t="e">
        <f>AND(#REF!,"AAAAAH371Qg=")</f>
        <v>#REF!</v>
      </c>
      <c r="J54" t="e">
        <f>AND(#REF!,"AAAAAH371Qk=")</f>
        <v>#REF!</v>
      </c>
      <c r="K54" t="e">
        <f>AND(#REF!,"AAAAAH371Qo=")</f>
        <v>#REF!</v>
      </c>
      <c r="L54" t="e">
        <f>AND(#REF!,"AAAAAH371Qs=")</f>
        <v>#REF!</v>
      </c>
      <c r="M54" t="e">
        <f>AND(#REF!,"AAAAAH371Qw=")</f>
        <v>#REF!</v>
      </c>
      <c r="N54" t="e">
        <f>AND(#REF!,"AAAAAH371Q0=")</f>
        <v>#REF!</v>
      </c>
      <c r="O54" t="e">
        <f>AND(#REF!,"AAAAAH371Q4=")</f>
        <v>#REF!</v>
      </c>
      <c r="P54" t="e">
        <f>AND(#REF!,"AAAAAH371Q8=")</f>
        <v>#REF!</v>
      </c>
      <c r="Q54" t="e">
        <f>AND(#REF!,"AAAAAH371RA=")</f>
        <v>#REF!</v>
      </c>
      <c r="R54" t="e">
        <f>AND(#REF!,"AAAAAH371RE=")</f>
        <v>#REF!</v>
      </c>
      <c r="S54" t="e">
        <f>AND(#REF!,"AAAAAH371RI=")</f>
        <v>#REF!</v>
      </c>
      <c r="T54" t="e">
        <f>AND(#REF!,"AAAAAH371RM=")</f>
        <v>#REF!</v>
      </c>
      <c r="U54" t="e">
        <f>AND(#REF!,"AAAAAH371RQ=")</f>
        <v>#REF!</v>
      </c>
      <c r="V54" t="e">
        <f>AND(#REF!,"AAAAAH371RU=")</f>
        <v>#REF!</v>
      </c>
      <c r="W54" t="e">
        <f>AND(#REF!,"AAAAAH371RY=")</f>
        <v>#REF!</v>
      </c>
      <c r="X54" t="e">
        <f>AND(#REF!,"AAAAAH371Rc=")</f>
        <v>#REF!</v>
      </c>
      <c r="Y54" t="e">
        <f>AND(#REF!,"AAAAAH371Rg=")</f>
        <v>#REF!</v>
      </c>
      <c r="Z54" t="e">
        <f>AND(#REF!,"AAAAAH371Rk=")</f>
        <v>#REF!</v>
      </c>
      <c r="AA54" t="e">
        <f>AND(#REF!,"AAAAAH371Ro=")</f>
        <v>#REF!</v>
      </c>
      <c r="AB54" t="e">
        <f>AND(#REF!,"AAAAAH371Rs=")</f>
        <v>#REF!</v>
      </c>
      <c r="AC54" t="e">
        <f>AND(#REF!,"AAAAAH371Rw=")</f>
        <v>#REF!</v>
      </c>
      <c r="AD54" t="e">
        <f>AND(#REF!,"AAAAAH371R0=")</f>
        <v>#REF!</v>
      </c>
      <c r="AE54" t="e">
        <f>AND(#REF!,"AAAAAH371R4=")</f>
        <v>#REF!</v>
      </c>
      <c r="AF54" t="e">
        <f>AND(#REF!,"AAAAAH371R8=")</f>
        <v>#REF!</v>
      </c>
      <c r="AG54" t="e">
        <f>AND(#REF!,"AAAAAH371SA=")</f>
        <v>#REF!</v>
      </c>
      <c r="AH54" t="e">
        <f>AND(#REF!,"AAAAAH371SE=")</f>
        <v>#REF!</v>
      </c>
      <c r="AI54" t="e">
        <f>AND(#REF!,"AAAAAH371SI=")</f>
        <v>#REF!</v>
      </c>
      <c r="AJ54" t="e">
        <f>AND(#REF!,"AAAAAH371SM=")</f>
        <v>#REF!</v>
      </c>
      <c r="AK54" t="e">
        <f>AND(#REF!,"AAAAAH371SQ=")</f>
        <v>#REF!</v>
      </c>
      <c r="AL54" t="e">
        <f>AND(#REF!,"AAAAAH371SU=")</f>
        <v>#REF!</v>
      </c>
      <c r="AM54" t="e">
        <f>AND(#REF!,"AAAAAH371SY=")</f>
        <v>#REF!</v>
      </c>
      <c r="AN54" t="e">
        <f>AND(#REF!,"AAAAAH371Sc=")</f>
        <v>#REF!</v>
      </c>
      <c r="AO54" t="e">
        <f>AND(#REF!,"AAAAAH371Sg=")</f>
        <v>#REF!</v>
      </c>
      <c r="AP54" t="e">
        <f>AND(#REF!,"AAAAAH371Sk=")</f>
        <v>#REF!</v>
      </c>
      <c r="AQ54" t="e">
        <f>AND(#REF!,"AAAAAH371So=")</f>
        <v>#REF!</v>
      </c>
      <c r="AR54" t="e">
        <f>AND(#REF!,"AAAAAH371Ss=")</f>
        <v>#REF!</v>
      </c>
      <c r="AS54" t="e">
        <f>AND(#REF!,"AAAAAH371Sw=")</f>
        <v>#REF!</v>
      </c>
      <c r="AT54" t="e">
        <f>AND(#REF!,"AAAAAH371S0=")</f>
        <v>#REF!</v>
      </c>
      <c r="AU54" t="e">
        <f>AND(#REF!,"AAAAAH371S4=")</f>
        <v>#REF!</v>
      </c>
      <c r="AV54" t="e">
        <f>AND(#REF!,"AAAAAH371S8=")</f>
        <v>#REF!</v>
      </c>
      <c r="AW54" t="e">
        <f>AND(#REF!,"AAAAAH371TA=")</f>
        <v>#REF!</v>
      </c>
      <c r="AX54" t="e">
        <f>IF(#REF!,"AAAAAH371TE=",0)</f>
        <v>#REF!</v>
      </c>
      <c r="AY54" t="e">
        <f>AND(#REF!,"AAAAAH371TI=")</f>
        <v>#REF!</v>
      </c>
      <c r="AZ54" t="e">
        <f>AND(#REF!,"AAAAAH371TM=")</f>
        <v>#REF!</v>
      </c>
      <c r="BA54" t="e">
        <f>AND(#REF!,"AAAAAH371TQ=")</f>
        <v>#REF!</v>
      </c>
      <c r="BB54" t="e">
        <f>AND(#REF!,"AAAAAH371TU=")</f>
        <v>#REF!</v>
      </c>
      <c r="BC54" t="e">
        <f>AND(#REF!,"AAAAAH371TY=")</f>
        <v>#REF!</v>
      </c>
      <c r="BD54" t="e">
        <f>AND(#REF!,"AAAAAH371Tc=")</f>
        <v>#REF!</v>
      </c>
      <c r="BE54" t="e">
        <f>AND(#REF!,"AAAAAH371Tg=")</f>
        <v>#REF!</v>
      </c>
      <c r="BF54" t="e">
        <f>AND(#REF!,"AAAAAH371Tk=")</f>
        <v>#REF!</v>
      </c>
      <c r="BG54" t="e">
        <f>AND(#REF!,"AAAAAH371To=")</f>
        <v>#REF!</v>
      </c>
      <c r="BH54" t="e">
        <f>AND(#REF!,"AAAAAH371Ts=")</f>
        <v>#REF!</v>
      </c>
      <c r="BI54" t="e">
        <f>AND(#REF!,"AAAAAH371Tw=")</f>
        <v>#REF!</v>
      </c>
      <c r="BJ54" t="e">
        <f>AND(#REF!,"AAAAAH371T0=")</f>
        <v>#REF!</v>
      </c>
      <c r="BK54" t="e">
        <f>AND(#REF!,"AAAAAH371T4=")</f>
        <v>#REF!</v>
      </c>
      <c r="BL54" t="e">
        <f>AND(#REF!,"AAAAAH371T8=")</f>
        <v>#REF!</v>
      </c>
      <c r="BM54" t="e">
        <f>AND(#REF!,"AAAAAH371UA=")</f>
        <v>#REF!</v>
      </c>
      <c r="BN54" t="e">
        <f>AND(#REF!,"AAAAAH371UE=")</f>
        <v>#REF!</v>
      </c>
      <c r="BO54" t="e">
        <f>AND(#REF!,"AAAAAH371UI=")</f>
        <v>#REF!</v>
      </c>
      <c r="BP54" t="e">
        <f>AND(#REF!,"AAAAAH371UM=")</f>
        <v>#REF!</v>
      </c>
      <c r="BQ54" t="e">
        <f>AND(#REF!,"AAAAAH371UQ=")</f>
        <v>#REF!</v>
      </c>
      <c r="BR54" t="e">
        <f>AND(#REF!,"AAAAAH371UU=")</f>
        <v>#REF!</v>
      </c>
      <c r="BS54" t="e">
        <f>AND(#REF!,"AAAAAH371UY=")</f>
        <v>#REF!</v>
      </c>
      <c r="BT54" t="e">
        <f>AND(#REF!,"AAAAAH371Uc=")</f>
        <v>#REF!</v>
      </c>
      <c r="BU54" t="e">
        <f>AND(#REF!,"AAAAAH371Ug=")</f>
        <v>#REF!</v>
      </c>
      <c r="BV54" t="e">
        <f>AND(#REF!,"AAAAAH371Uk=")</f>
        <v>#REF!</v>
      </c>
      <c r="BW54" t="e">
        <f>AND(#REF!,"AAAAAH371Uo=")</f>
        <v>#REF!</v>
      </c>
      <c r="BX54" t="e">
        <f>AND(#REF!,"AAAAAH371Us=")</f>
        <v>#REF!</v>
      </c>
      <c r="BY54" t="e">
        <f>AND(#REF!,"AAAAAH371Uw=")</f>
        <v>#REF!</v>
      </c>
      <c r="BZ54" t="e">
        <f>AND(#REF!,"AAAAAH371U0=")</f>
        <v>#REF!</v>
      </c>
      <c r="CA54" t="e">
        <f>AND(#REF!,"AAAAAH371U4=")</f>
        <v>#REF!</v>
      </c>
      <c r="CB54" t="e">
        <f>AND(#REF!,"AAAAAH371U8=")</f>
        <v>#REF!</v>
      </c>
      <c r="CC54" t="e">
        <f>AND(#REF!,"AAAAAH371VA=")</f>
        <v>#REF!</v>
      </c>
      <c r="CD54" t="e">
        <f>AND(#REF!,"AAAAAH371VE=")</f>
        <v>#REF!</v>
      </c>
      <c r="CE54" t="e">
        <f>AND(#REF!,"AAAAAH371VI=")</f>
        <v>#REF!</v>
      </c>
      <c r="CF54" t="e">
        <f>AND(#REF!,"AAAAAH371VM=")</f>
        <v>#REF!</v>
      </c>
      <c r="CG54" t="e">
        <f>AND(#REF!,"AAAAAH371VQ=")</f>
        <v>#REF!</v>
      </c>
      <c r="CH54" t="e">
        <f>AND(#REF!,"AAAAAH371VU=")</f>
        <v>#REF!</v>
      </c>
      <c r="CI54" t="e">
        <f>AND(#REF!,"AAAAAH371VY=")</f>
        <v>#REF!</v>
      </c>
      <c r="CJ54" t="e">
        <f>AND(#REF!,"AAAAAH371Vc=")</f>
        <v>#REF!</v>
      </c>
      <c r="CK54" t="e">
        <f>AND(#REF!,"AAAAAH371Vg=")</f>
        <v>#REF!</v>
      </c>
      <c r="CL54" t="e">
        <f>AND(#REF!,"AAAAAH371Vk=")</f>
        <v>#REF!</v>
      </c>
      <c r="CM54" t="e">
        <f>AND(#REF!,"AAAAAH371Vo=")</f>
        <v>#REF!</v>
      </c>
      <c r="CN54" t="e">
        <f>IF(#REF!,"AAAAAH371Vs=",0)</f>
        <v>#REF!</v>
      </c>
      <c r="CO54" t="e">
        <f>AND(#REF!,"AAAAAH371Vw=")</f>
        <v>#REF!</v>
      </c>
      <c r="CP54" t="e">
        <f>AND(#REF!,"AAAAAH371V0=")</f>
        <v>#REF!</v>
      </c>
      <c r="CQ54" t="e">
        <f>AND(#REF!,"AAAAAH371V4=")</f>
        <v>#REF!</v>
      </c>
      <c r="CR54" t="e">
        <f>AND(#REF!,"AAAAAH371V8=")</f>
        <v>#REF!</v>
      </c>
      <c r="CS54" t="e">
        <f>AND(#REF!,"AAAAAH371WA=")</f>
        <v>#REF!</v>
      </c>
      <c r="CT54" t="e">
        <f>AND(#REF!,"AAAAAH371WE=")</f>
        <v>#REF!</v>
      </c>
      <c r="CU54" t="e">
        <f>AND(#REF!,"AAAAAH371WI=")</f>
        <v>#REF!</v>
      </c>
      <c r="CV54" t="e">
        <f>AND(#REF!,"AAAAAH371WM=")</f>
        <v>#REF!</v>
      </c>
      <c r="CW54" t="e">
        <f>AND(#REF!,"AAAAAH371WQ=")</f>
        <v>#REF!</v>
      </c>
      <c r="CX54" t="e">
        <f>AND(#REF!,"AAAAAH371WU=")</f>
        <v>#REF!</v>
      </c>
      <c r="CY54" t="e">
        <f>AND(#REF!,"AAAAAH371WY=")</f>
        <v>#REF!</v>
      </c>
      <c r="CZ54" t="e">
        <f>AND(#REF!,"AAAAAH371Wc=")</f>
        <v>#REF!</v>
      </c>
      <c r="DA54" t="e">
        <f>AND(#REF!,"AAAAAH371Wg=")</f>
        <v>#REF!</v>
      </c>
      <c r="DB54" t="e">
        <f>AND(#REF!,"AAAAAH371Wk=")</f>
        <v>#REF!</v>
      </c>
      <c r="DC54" t="e">
        <f>AND(#REF!,"AAAAAH371Wo=")</f>
        <v>#REF!</v>
      </c>
      <c r="DD54" t="e">
        <f>AND(#REF!,"AAAAAH371Ws=")</f>
        <v>#REF!</v>
      </c>
      <c r="DE54" t="e">
        <f>AND(#REF!,"AAAAAH371Ww=")</f>
        <v>#REF!</v>
      </c>
      <c r="DF54" t="e">
        <f>AND(#REF!,"AAAAAH371W0=")</f>
        <v>#REF!</v>
      </c>
      <c r="DG54" t="e">
        <f>AND(#REF!,"AAAAAH371W4=")</f>
        <v>#REF!</v>
      </c>
      <c r="DH54" t="e">
        <f>AND(#REF!,"AAAAAH371W8=")</f>
        <v>#REF!</v>
      </c>
      <c r="DI54" t="e">
        <f>AND(#REF!,"AAAAAH371XA=")</f>
        <v>#REF!</v>
      </c>
      <c r="DJ54" t="e">
        <f>AND(#REF!,"AAAAAH371XE=")</f>
        <v>#REF!</v>
      </c>
      <c r="DK54" t="e">
        <f>AND(#REF!,"AAAAAH371XI=")</f>
        <v>#REF!</v>
      </c>
      <c r="DL54" t="e">
        <f>AND(#REF!,"AAAAAH371XM=")</f>
        <v>#REF!</v>
      </c>
      <c r="DM54" t="e">
        <f>AND(#REF!,"AAAAAH371XQ=")</f>
        <v>#REF!</v>
      </c>
      <c r="DN54" t="e">
        <f>AND(#REF!,"AAAAAH371XU=")</f>
        <v>#REF!</v>
      </c>
      <c r="DO54" t="e">
        <f>AND(#REF!,"AAAAAH371XY=")</f>
        <v>#REF!</v>
      </c>
      <c r="DP54" t="e">
        <f>AND(#REF!,"AAAAAH371Xc=")</f>
        <v>#REF!</v>
      </c>
      <c r="DQ54" t="e">
        <f>AND(#REF!,"AAAAAH371Xg=")</f>
        <v>#REF!</v>
      </c>
      <c r="DR54" t="e">
        <f>AND(#REF!,"AAAAAH371Xk=")</f>
        <v>#REF!</v>
      </c>
      <c r="DS54" t="e">
        <f>AND(#REF!,"AAAAAH371Xo=")</f>
        <v>#REF!</v>
      </c>
      <c r="DT54" t="e">
        <f>AND(#REF!,"AAAAAH371Xs=")</f>
        <v>#REF!</v>
      </c>
      <c r="DU54" t="e">
        <f>AND(#REF!,"AAAAAH371Xw=")</f>
        <v>#REF!</v>
      </c>
      <c r="DV54" t="e">
        <f>AND(#REF!,"AAAAAH371X0=")</f>
        <v>#REF!</v>
      </c>
      <c r="DW54" t="e">
        <f>AND(#REF!,"AAAAAH371X4=")</f>
        <v>#REF!</v>
      </c>
      <c r="DX54" t="e">
        <f>AND(#REF!,"AAAAAH371X8=")</f>
        <v>#REF!</v>
      </c>
      <c r="DY54" t="e">
        <f>AND(#REF!,"AAAAAH371YA=")</f>
        <v>#REF!</v>
      </c>
      <c r="DZ54" t="e">
        <f>AND(#REF!,"AAAAAH371YE=")</f>
        <v>#REF!</v>
      </c>
      <c r="EA54" t="e">
        <f>AND(#REF!,"AAAAAH371YI=")</f>
        <v>#REF!</v>
      </c>
      <c r="EB54" t="e">
        <f>AND(#REF!,"AAAAAH371YM=")</f>
        <v>#REF!</v>
      </c>
      <c r="EC54" t="e">
        <f>AND(#REF!,"AAAAAH371YQ=")</f>
        <v>#REF!</v>
      </c>
      <c r="ED54" t="e">
        <f>IF(#REF!,"AAAAAH371YU=",0)</f>
        <v>#REF!</v>
      </c>
      <c r="EE54" t="e">
        <f>AND(#REF!,"AAAAAH371YY=")</f>
        <v>#REF!</v>
      </c>
      <c r="EF54" t="e">
        <f>AND(#REF!,"AAAAAH371Yc=")</f>
        <v>#REF!</v>
      </c>
      <c r="EG54" t="e">
        <f>AND(#REF!,"AAAAAH371Yg=")</f>
        <v>#REF!</v>
      </c>
      <c r="EH54" t="e">
        <f>AND(#REF!,"AAAAAH371Yk=")</f>
        <v>#REF!</v>
      </c>
      <c r="EI54" t="e">
        <f>AND(#REF!,"AAAAAH371Yo=")</f>
        <v>#REF!</v>
      </c>
      <c r="EJ54" t="e">
        <f>AND(#REF!,"AAAAAH371Ys=")</f>
        <v>#REF!</v>
      </c>
      <c r="EK54" t="e">
        <f>AND(#REF!,"AAAAAH371Yw=")</f>
        <v>#REF!</v>
      </c>
      <c r="EL54" t="e">
        <f>AND(#REF!,"AAAAAH371Y0=")</f>
        <v>#REF!</v>
      </c>
      <c r="EM54" t="e">
        <f>AND(#REF!,"AAAAAH371Y4=")</f>
        <v>#REF!</v>
      </c>
      <c r="EN54" t="e">
        <f>AND(#REF!,"AAAAAH371Y8=")</f>
        <v>#REF!</v>
      </c>
      <c r="EO54" t="e">
        <f>AND(#REF!,"AAAAAH371ZA=")</f>
        <v>#REF!</v>
      </c>
      <c r="EP54" t="e">
        <f>AND(#REF!,"AAAAAH371ZE=")</f>
        <v>#REF!</v>
      </c>
      <c r="EQ54" t="e">
        <f>AND(#REF!,"AAAAAH371ZI=")</f>
        <v>#REF!</v>
      </c>
      <c r="ER54" t="e">
        <f>AND(#REF!,"AAAAAH371ZM=")</f>
        <v>#REF!</v>
      </c>
      <c r="ES54" t="e">
        <f>AND(#REF!,"AAAAAH371ZQ=")</f>
        <v>#REF!</v>
      </c>
      <c r="ET54" t="e">
        <f>AND(#REF!,"AAAAAH371ZU=")</f>
        <v>#REF!</v>
      </c>
      <c r="EU54" t="e">
        <f>AND(#REF!,"AAAAAH371ZY=")</f>
        <v>#REF!</v>
      </c>
      <c r="EV54" t="e">
        <f>AND(#REF!,"AAAAAH371Zc=")</f>
        <v>#REF!</v>
      </c>
      <c r="EW54" t="e">
        <f>AND(#REF!,"AAAAAH371Zg=")</f>
        <v>#REF!</v>
      </c>
      <c r="EX54" t="e">
        <f>AND(#REF!,"AAAAAH371Zk=")</f>
        <v>#REF!</v>
      </c>
      <c r="EY54" t="e">
        <f>AND(#REF!,"AAAAAH371Zo=")</f>
        <v>#REF!</v>
      </c>
      <c r="EZ54" t="e">
        <f>AND(#REF!,"AAAAAH371Zs=")</f>
        <v>#REF!</v>
      </c>
      <c r="FA54" t="e">
        <f>AND(#REF!,"AAAAAH371Zw=")</f>
        <v>#REF!</v>
      </c>
      <c r="FB54" t="e">
        <f>AND(#REF!,"AAAAAH371Z0=")</f>
        <v>#REF!</v>
      </c>
      <c r="FC54" t="e">
        <f>AND(#REF!,"AAAAAH371Z4=")</f>
        <v>#REF!</v>
      </c>
      <c r="FD54" t="e">
        <f>AND(#REF!,"AAAAAH371Z8=")</f>
        <v>#REF!</v>
      </c>
      <c r="FE54" t="e">
        <f>AND(#REF!,"AAAAAH371aA=")</f>
        <v>#REF!</v>
      </c>
      <c r="FF54" t="e">
        <f>AND(#REF!,"AAAAAH371aE=")</f>
        <v>#REF!</v>
      </c>
      <c r="FG54" t="e">
        <f>AND(#REF!,"AAAAAH371aI=")</f>
        <v>#REF!</v>
      </c>
      <c r="FH54" t="e">
        <f>AND(#REF!,"AAAAAH371aM=")</f>
        <v>#REF!</v>
      </c>
      <c r="FI54" t="e">
        <f>AND(#REF!,"AAAAAH371aQ=")</f>
        <v>#REF!</v>
      </c>
      <c r="FJ54" t="e">
        <f>AND(#REF!,"AAAAAH371aU=")</f>
        <v>#REF!</v>
      </c>
      <c r="FK54" t="e">
        <f>AND(#REF!,"AAAAAH371aY=")</f>
        <v>#REF!</v>
      </c>
      <c r="FL54" t="e">
        <f>AND(#REF!,"AAAAAH371ac=")</f>
        <v>#REF!</v>
      </c>
      <c r="FM54" t="e">
        <f>AND(#REF!,"AAAAAH371ag=")</f>
        <v>#REF!</v>
      </c>
      <c r="FN54" t="e">
        <f>AND(#REF!,"AAAAAH371ak=")</f>
        <v>#REF!</v>
      </c>
      <c r="FO54" t="e">
        <f>AND(#REF!,"AAAAAH371ao=")</f>
        <v>#REF!</v>
      </c>
      <c r="FP54" t="e">
        <f>AND(#REF!,"AAAAAH371as=")</f>
        <v>#REF!</v>
      </c>
      <c r="FQ54" t="e">
        <f>AND(#REF!,"AAAAAH371aw=")</f>
        <v>#REF!</v>
      </c>
      <c r="FR54" t="e">
        <f>AND(#REF!,"AAAAAH371a0=")</f>
        <v>#REF!</v>
      </c>
      <c r="FS54" t="e">
        <f>AND(#REF!,"AAAAAH371a4=")</f>
        <v>#REF!</v>
      </c>
      <c r="FT54" t="e">
        <f>IF(#REF!,"AAAAAH371a8=",0)</f>
        <v>#REF!</v>
      </c>
      <c r="FU54" t="e">
        <f>AND(#REF!,"AAAAAH371bA=")</f>
        <v>#REF!</v>
      </c>
      <c r="FV54" t="e">
        <f>AND(#REF!,"AAAAAH371bE=")</f>
        <v>#REF!</v>
      </c>
      <c r="FW54" t="e">
        <f>AND(#REF!,"AAAAAH371bI=")</f>
        <v>#REF!</v>
      </c>
      <c r="FX54" t="e">
        <f>AND(#REF!,"AAAAAH371bM=")</f>
        <v>#REF!</v>
      </c>
      <c r="FY54" t="e">
        <f>AND(#REF!,"AAAAAH371bQ=")</f>
        <v>#REF!</v>
      </c>
      <c r="FZ54" t="e">
        <f>AND(#REF!,"AAAAAH371bU=")</f>
        <v>#REF!</v>
      </c>
      <c r="GA54" t="e">
        <f>AND(#REF!,"AAAAAH371bY=")</f>
        <v>#REF!</v>
      </c>
      <c r="GB54" t="e">
        <f>AND(#REF!,"AAAAAH371bc=")</f>
        <v>#REF!</v>
      </c>
      <c r="GC54" t="e">
        <f>AND(#REF!,"AAAAAH371bg=")</f>
        <v>#REF!</v>
      </c>
      <c r="GD54" t="e">
        <f>AND(#REF!,"AAAAAH371bk=")</f>
        <v>#REF!</v>
      </c>
      <c r="GE54" t="e">
        <f>AND(#REF!,"AAAAAH371bo=")</f>
        <v>#REF!</v>
      </c>
      <c r="GF54" t="e">
        <f>AND(#REF!,"AAAAAH371bs=")</f>
        <v>#REF!</v>
      </c>
      <c r="GG54" t="e">
        <f>AND(#REF!,"AAAAAH371bw=")</f>
        <v>#REF!</v>
      </c>
      <c r="GH54" t="e">
        <f>AND(#REF!,"AAAAAH371b0=")</f>
        <v>#REF!</v>
      </c>
      <c r="GI54" t="e">
        <f>AND(#REF!,"AAAAAH371b4=")</f>
        <v>#REF!</v>
      </c>
      <c r="GJ54" t="e">
        <f>AND(#REF!,"AAAAAH371b8=")</f>
        <v>#REF!</v>
      </c>
      <c r="GK54" t="e">
        <f>AND(#REF!,"AAAAAH371cA=")</f>
        <v>#REF!</v>
      </c>
      <c r="GL54" t="e">
        <f>AND(#REF!,"AAAAAH371cE=")</f>
        <v>#REF!</v>
      </c>
      <c r="GM54" t="e">
        <f>AND(#REF!,"AAAAAH371cI=")</f>
        <v>#REF!</v>
      </c>
      <c r="GN54" t="e">
        <f>AND(#REF!,"AAAAAH371cM=")</f>
        <v>#REF!</v>
      </c>
      <c r="GO54" t="e">
        <f>AND(#REF!,"AAAAAH371cQ=")</f>
        <v>#REF!</v>
      </c>
      <c r="GP54" t="e">
        <f>AND(#REF!,"AAAAAH371cU=")</f>
        <v>#REF!</v>
      </c>
      <c r="GQ54" t="e">
        <f>AND(#REF!,"AAAAAH371cY=")</f>
        <v>#REF!</v>
      </c>
      <c r="GR54" t="e">
        <f>AND(#REF!,"AAAAAH371cc=")</f>
        <v>#REF!</v>
      </c>
      <c r="GS54" t="e">
        <f>AND(#REF!,"AAAAAH371cg=")</f>
        <v>#REF!</v>
      </c>
      <c r="GT54" t="e">
        <f>AND(#REF!,"AAAAAH371ck=")</f>
        <v>#REF!</v>
      </c>
      <c r="GU54" t="e">
        <f>AND(#REF!,"AAAAAH371co=")</f>
        <v>#REF!</v>
      </c>
      <c r="GV54" t="e">
        <f>AND(#REF!,"AAAAAH371cs=")</f>
        <v>#REF!</v>
      </c>
      <c r="GW54" t="e">
        <f>AND(#REF!,"AAAAAH371cw=")</f>
        <v>#REF!</v>
      </c>
      <c r="GX54" t="e">
        <f>AND(#REF!,"AAAAAH371c0=")</f>
        <v>#REF!</v>
      </c>
      <c r="GY54" t="e">
        <f>AND(#REF!,"AAAAAH371c4=")</f>
        <v>#REF!</v>
      </c>
      <c r="GZ54" t="e">
        <f>AND(#REF!,"AAAAAH371c8=")</f>
        <v>#REF!</v>
      </c>
      <c r="HA54" t="e">
        <f>AND(#REF!,"AAAAAH371dA=")</f>
        <v>#REF!</v>
      </c>
      <c r="HB54" t="e">
        <f>AND(#REF!,"AAAAAH371dE=")</f>
        <v>#REF!</v>
      </c>
      <c r="HC54" t="e">
        <f>AND(#REF!,"AAAAAH371dI=")</f>
        <v>#REF!</v>
      </c>
      <c r="HD54" t="e">
        <f>AND(#REF!,"AAAAAH371dM=")</f>
        <v>#REF!</v>
      </c>
      <c r="HE54" t="e">
        <f>AND(#REF!,"AAAAAH371dQ=")</f>
        <v>#REF!</v>
      </c>
      <c r="HF54" t="e">
        <f>AND(#REF!,"AAAAAH371dU=")</f>
        <v>#REF!</v>
      </c>
      <c r="HG54" t="e">
        <f>AND(#REF!,"AAAAAH371dY=")</f>
        <v>#REF!</v>
      </c>
      <c r="HH54" t="e">
        <f>AND(#REF!,"AAAAAH371dc=")</f>
        <v>#REF!</v>
      </c>
      <c r="HI54" t="e">
        <f>AND(#REF!,"AAAAAH371dg=")</f>
        <v>#REF!</v>
      </c>
      <c r="HJ54" t="e">
        <f>IF(#REF!,"AAAAAH371dk=",0)</f>
        <v>#REF!</v>
      </c>
      <c r="HK54" t="e">
        <f>AND(#REF!,"AAAAAH371do=")</f>
        <v>#REF!</v>
      </c>
      <c r="HL54" t="e">
        <f>AND(#REF!,"AAAAAH371ds=")</f>
        <v>#REF!</v>
      </c>
      <c r="HM54" t="e">
        <f>AND(#REF!,"AAAAAH371dw=")</f>
        <v>#REF!</v>
      </c>
      <c r="HN54" t="e">
        <f>AND(#REF!,"AAAAAH371d0=")</f>
        <v>#REF!</v>
      </c>
      <c r="HO54" t="e">
        <f>AND(#REF!,"AAAAAH371d4=")</f>
        <v>#REF!</v>
      </c>
      <c r="HP54" t="e">
        <f>AND(#REF!,"AAAAAH371d8=")</f>
        <v>#REF!</v>
      </c>
      <c r="HQ54" t="e">
        <f>AND(#REF!,"AAAAAH371eA=")</f>
        <v>#REF!</v>
      </c>
      <c r="HR54" t="e">
        <f>AND(#REF!,"AAAAAH371eE=")</f>
        <v>#REF!</v>
      </c>
      <c r="HS54" t="e">
        <f>AND(#REF!,"AAAAAH371eI=")</f>
        <v>#REF!</v>
      </c>
      <c r="HT54" t="e">
        <f>AND(#REF!,"AAAAAH371eM=")</f>
        <v>#REF!</v>
      </c>
      <c r="HU54" t="e">
        <f>AND(#REF!,"AAAAAH371eQ=")</f>
        <v>#REF!</v>
      </c>
      <c r="HV54" t="e">
        <f>AND(#REF!,"AAAAAH371eU=")</f>
        <v>#REF!</v>
      </c>
      <c r="HW54" t="e">
        <f>AND(#REF!,"AAAAAH371eY=")</f>
        <v>#REF!</v>
      </c>
      <c r="HX54" t="e">
        <f>AND(#REF!,"AAAAAH371ec=")</f>
        <v>#REF!</v>
      </c>
      <c r="HY54" t="e">
        <f>AND(#REF!,"AAAAAH371eg=")</f>
        <v>#REF!</v>
      </c>
      <c r="HZ54" t="e">
        <f>AND(#REF!,"AAAAAH371ek=")</f>
        <v>#REF!</v>
      </c>
      <c r="IA54" t="e">
        <f>AND(#REF!,"AAAAAH371eo=")</f>
        <v>#REF!</v>
      </c>
      <c r="IB54" t="e">
        <f>AND(#REF!,"AAAAAH371es=")</f>
        <v>#REF!</v>
      </c>
      <c r="IC54" t="e">
        <f>AND(#REF!,"AAAAAH371ew=")</f>
        <v>#REF!</v>
      </c>
      <c r="ID54" t="e">
        <f>AND(#REF!,"AAAAAH371e0=")</f>
        <v>#REF!</v>
      </c>
      <c r="IE54" t="e">
        <f>AND(#REF!,"AAAAAH371e4=")</f>
        <v>#REF!</v>
      </c>
      <c r="IF54" t="e">
        <f>AND(#REF!,"AAAAAH371e8=")</f>
        <v>#REF!</v>
      </c>
      <c r="IG54" t="e">
        <f>AND(#REF!,"AAAAAH371fA=")</f>
        <v>#REF!</v>
      </c>
      <c r="IH54" t="e">
        <f>AND(#REF!,"AAAAAH371fE=")</f>
        <v>#REF!</v>
      </c>
      <c r="II54" t="e">
        <f>AND(#REF!,"AAAAAH371fI=")</f>
        <v>#REF!</v>
      </c>
      <c r="IJ54" t="e">
        <f>AND(#REF!,"AAAAAH371fM=")</f>
        <v>#REF!</v>
      </c>
      <c r="IK54" t="e">
        <f>AND(#REF!,"AAAAAH371fQ=")</f>
        <v>#REF!</v>
      </c>
      <c r="IL54" t="e">
        <f>AND(#REF!,"AAAAAH371fU=")</f>
        <v>#REF!</v>
      </c>
      <c r="IM54" t="e">
        <f>AND(#REF!,"AAAAAH371fY=")</f>
        <v>#REF!</v>
      </c>
      <c r="IN54" t="e">
        <f>AND(#REF!,"AAAAAH371fc=")</f>
        <v>#REF!</v>
      </c>
      <c r="IO54" t="e">
        <f>AND(#REF!,"AAAAAH371fg=")</f>
        <v>#REF!</v>
      </c>
      <c r="IP54" t="e">
        <f>AND(#REF!,"AAAAAH371fk=")</f>
        <v>#REF!</v>
      </c>
      <c r="IQ54" t="e">
        <f>AND(#REF!,"AAAAAH371fo=")</f>
        <v>#REF!</v>
      </c>
      <c r="IR54" t="e">
        <f>AND(#REF!,"AAAAAH371fs=")</f>
        <v>#REF!</v>
      </c>
      <c r="IS54" t="e">
        <f>AND(#REF!,"AAAAAH371fw=")</f>
        <v>#REF!</v>
      </c>
      <c r="IT54" t="e">
        <f>AND(#REF!,"AAAAAH371f0=")</f>
        <v>#REF!</v>
      </c>
      <c r="IU54" t="e">
        <f>AND(#REF!,"AAAAAH371f4=")</f>
        <v>#REF!</v>
      </c>
      <c r="IV54" t="e">
        <f>AND(#REF!,"AAAAAH371f8=")</f>
        <v>#REF!</v>
      </c>
    </row>
    <row r="55" spans="1:256">
      <c r="A55" t="e">
        <f>AND(#REF!,"AAAAAB9/fgA=")</f>
        <v>#REF!</v>
      </c>
      <c r="B55" t="e">
        <f>AND(#REF!,"AAAAAB9/fgE=")</f>
        <v>#REF!</v>
      </c>
      <c r="C55" t="e">
        <f>AND(#REF!,"AAAAAB9/fgI=")</f>
        <v>#REF!</v>
      </c>
      <c r="D55" t="e">
        <f>IF(#REF!,"AAAAAB9/fgM=",0)</f>
        <v>#REF!</v>
      </c>
      <c r="E55" t="e">
        <f>AND(#REF!,"AAAAAB9/fgQ=")</f>
        <v>#REF!</v>
      </c>
      <c r="F55" t="e">
        <f>AND(#REF!,"AAAAAB9/fgU=")</f>
        <v>#REF!</v>
      </c>
      <c r="G55" t="e">
        <f>AND(#REF!,"AAAAAB9/fgY=")</f>
        <v>#REF!</v>
      </c>
      <c r="H55" t="e">
        <f>AND(#REF!,"AAAAAB9/fgc=")</f>
        <v>#REF!</v>
      </c>
      <c r="I55" t="e">
        <f>AND(#REF!,"AAAAAB9/fgg=")</f>
        <v>#REF!</v>
      </c>
      <c r="J55" t="e">
        <f>AND(#REF!,"AAAAAB9/fgk=")</f>
        <v>#REF!</v>
      </c>
      <c r="K55" t="e">
        <f>AND(#REF!,"AAAAAB9/fgo=")</f>
        <v>#REF!</v>
      </c>
      <c r="L55" t="e">
        <f>AND(#REF!,"AAAAAB9/fgs=")</f>
        <v>#REF!</v>
      </c>
      <c r="M55" t="e">
        <f>AND(#REF!,"AAAAAB9/fgw=")</f>
        <v>#REF!</v>
      </c>
      <c r="N55" t="e">
        <f>AND(#REF!,"AAAAAB9/fg0=")</f>
        <v>#REF!</v>
      </c>
      <c r="O55" t="e">
        <f>AND(#REF!,"AAAAAB9/fg4=")</f>
        <v>#REF!</v>
      </c>
      <c r="P55" t="e">
        <f>AND(#REF!,"AAAAAB9/fg8=")</f>
        <v>#REF!</v>
      </c>
      <c r="Q55" t="e">
        <f>AND(#REF!,"AAAAAB9/fhA=")</f>
        <v>#REF!</v>
      </c>
      <c r="R55" t="e">
        <f>AND(#REF!,"AAAAAB9/fhE=")</f>
        <v>#REF!</v>
      </c>
      <c r="S55" t="e">
        <f>AND(#REF!,"AAAAAB9/fhI=")</f>
        <v>#REF!</v>
      </c>
      <c r="T55" t="e">
        <f>AND(#REF!,"AAAAAB9/fhM=")</f>
        <v>#REF!</v>
      </c>
      <c r="U55" t="e">
        <f>AND(#REF!,"AAAAAB9/fhQ=")</f>
        <v>#REF!</v>
      </c>
      <c r="V55" t="e">
        <f>AND(#REF!,"AAAAAB9/fhU=")</f>
        <v>#REF!</v>
      </c>
      <c r="W55" t="e">
        <f>AND(#REF!,"AAAAAB9/fhY=")</f>
        <v>#REF!</v>
      </c>
      <c r="X55" t="e">
        <f>AND(#REF!,"AAAAAB9/fhc=")</f>
        <v>#REF!</v>
      </c>
      <c r="Y55" t="e">
        <f>AND(#REF!,"AAAAAB9/fhg=")</f>
        <v>#REF!</v>
      </c>
      <c r="Z55" t="e">
        <f>AND(#REF!,"AAAAAB9/fhk=")</f>
        <v>#REF!</v>
      </c>
      <c r="AA55" t="e">
        <f>AND(#REF!,"AAAAAB9/fho=")</f>
        <v>#REF!</v>
      </c>
      <c r="AB55" t="e">
        <f>AND(#REF!,"AAAAAB9/fhs=")</f>
        <v>#REF!</v>
      </c>
      <c r="AC55" t="e">
        <f>AND(#REF!,"AAAAAB9/fhw=")</f>
        <v>#REF!</v>
      </c>
      <c r="AD55" t="e">
        <f>AND(#REF!,"AAAAAB9/fh0=")</f>
        <v>#REF!</v>
      </c>
      <c r="AE55" t="e">
        <f>AND(#REF!,"AAAAAB9/fh4=")</f>
        <v>#REF!</v>
      </c>
      <c r="AF55" t="e">
        <f>AND(#REF!,"AAAAAB9/fh8=")</f>
        <v>#REF!</v>
      </c>
      <c r="AG55" t="e">
        <f>AND(#REF!,"AAAAAB9/fiA=")</f>
        <v>#REF!</v>
      </c>
      <c r="AH55" t="e">
        <f>AND(#REF!,"AAAAAB9/fiE=")</f>
        <v>#REF!</v>
      </c>
      <c r="AI55" t="e">
        <f>AND(#REF!,"AAAAAB9/fiI=")</f>
        <v>#REF!</v>
      </c>
      <c r="AJ55" t="e">
        <f>AND(#REF!,"AAAAAB9/fiM=")</f>
        <v>#REF!</v>
      </c>
      <c r="AK55" t="e">
        <f>AND(#REF!,"AAAAAB9/fiQ=")</f>
        <v>#REF!</v>
      </c>
      <c r="AL55" t="e">
        <f>AND(#REF!,"AAAAAB9/fiU=")</f>
        <v>#REF!</v>
      </c>
      <c r="AM55" t="e">
        <f>AND(#REF!,"AAAAAB9/fiY=")</f>
        <v>#REF!</v>
      </c>
      <c r="AN55" t="e">
        <f>AND(#REF!,"AAAAAB9/fic=")</f>
        <v>#REF!</v>
      </c>
      <c r="AO55" t="e">
        <f>AND(#REF!,"AAAAAB9/fig=")</f>
        <v>#REF!</v>
      </c>
      <c r="AP55" t="e">
        <f>AND(#REF!,"AAAAAB9/fik=")</f>
        <v>#REF!</v>
      </c>
      <c r="AQ55" t="e">
        <f>AND(#REF!,"AAAAAB9/fio=")</f>
        <v>#REF!</v>
      </c>
      <c r="AR55" t="e">
        <f>AND(#REF!,"AAAAAB9/fis=")</f>
        <v>#REF!</v>
      </c>
      <c r="AS55" t="e">
        <f>AND(#REF!,"AAAAAB9/fiw=")</f>
        <v>#REF!</v>
      </c>
      <c r="AT55" t="e">
        <f>IF(#REF!,"AAAAAB9/fi0=",0)</f>
        <v>#REF!</v>
      </c>
      <c r="AU55" t="e">
        <f>AND(#REF!,"AAAAAB9/fi4=")</f>
        <v>#REF!</v>
      </c>
      <c r="AV55" t="e">
        <f>AND(#REF!,"AAAAAB9/fi8=")</f>
        <v>#REF!</v>
      </c>
      <c r="AW55" t="e">
        <f>AND(#REF!,"AAAAAB9/fjA=")</f>
        <v>#REF!</v>
      </c>
      <c r="AX55" t="e">
        <f>AND(#REF!,"AAAAAB9/fjE=")</f>
        <v>#REF!</v>
      </c>
      <c r="AY55" t="e">
        <f>AND(#REF!,"AAAAAB9/fjI=")</f>
        <v>#REF!</v>
      </c>
      <c r="AZ55" t="e">
        <f>AND(#REF!,"AAAAAB9/fjM=")</f>
        <v>#REF!</v>
      </c>
      <c r="BA55" t="e">
        <f>AND(#REF!,"AAAAAB9/fjQ=")</f>
        <v>#REF!</v>
      </c>
      <c r="BB55" t="e">
        <f>AND(#REF!,"AAAAAB9/fjU=")</f>
        <v>#REF!</v>
      </c>
      <c r="BC55" t="e">
        <f>AND(#REF!,"AAAAAB9/fjY=")</f>
        <v>#REF!</v>
      </c>
      <c r="BD55" t="e">
        <f>AND(#REF!,"AAAAAB9/fjc=")</f>
        <v>#REF!</v>
      </c>
      <c r="BE55" t="e">
        <f>AND(#REF!,"AAAAAB9/fjg=")</f>
        <v>#REF!</v>
      </c>
      <c r="BF55" t="e">
        <f>AND(#REF!,"AAAAAB9/fjk=")</f>
        <v>#REF!</v>
      </c>
      <c r="BG55" t="e">
        <f>AND(#REF!,"AAAAAB9/fjo=")</f>
        <v>#REF!</v>
      </c>
      <c r="BH55" t="e">
        <f>AND(#REF!,"AAAAAB9/fjs=")</f>
        <v>#REF!</v>
      </c>
      <c r="BI55" t="e">
        <f>AND(#REF!,"AAAAAB9/fjw=")</f>
        <v>#REF!</v>
      </c>
      <c r="BJ55" t="e">
        <f>AND(#REF!,"AAAAAB9/fj0=")</f>
        <v>#REF!</v>
      </c>
      <c r="BK55" t="e">
        <f>AND(#REF!,"AAAAAB9/fj4=")</f>
        <v>#REF!</v>
      </c>
      <c r="BL55" t="e">
        <f>AND(#REF!,"AAAAAB9/fj8=")</f>
        <v>#REF!</v>
      </c>
      <c r="BM55" t="e">
        <f>AND(#REF!,"AAAAAB9/fkA=")</f>
        <v>#REF!</v>
      </c>
      <c r="BN55" t="e">
        <f>AND(#REF!,"AAAAAB9/fkE=")</f>
        <v>#REF!</v>
      </c>
      <c r="BO55" t="e">
        <f>AND(#REF!,"AAAAAB9/fkI=")</f>
        <v>#REF!</v>
      </c>
      <c r="BP55" t="e">
        <f>AND(#REF!,"AAAAAB9/fkM=")</f>
        <v>#REF!</v>
      </c>
      <c r="BQ55" t="e">
        <f>AND(#REF!,"AAAAAB9/fkQ=")</f>
        <v>#REF!</v>
      </c>
      <c r="BR55" t="e">
        <f>AND(#REF!,"AAAAAB9/fkU=")</f>
        <v>#REF!</v>
      </c>
      <c r="BS55" t="e">
        <f>AND(#REF!,"AAAAAB9/fkY=")</f>
        <v>#REF!</v>
      </c>
      <c r="BT55" t="e">
        <f>AND(#REF!,"AAAAAB9/fkc=")</f>
        <v>#REF!</v>
      </c>
      <c r="BU55" t="e">
        <f>AND(#REF!,"AAAAAB9/fkg=")</f>
        <v>#REF!</v>
      </c>
      <c r="BV55" t="e">
        <f>AND(#REF!,"AAAAAB9/fkk=")</f>
        <v>#REF!</v>
      </c>
      <c r="BW55" t="e">
        <f>AND(#REF!,"AAAAAB9/fko=")</f>
        <v>#REF!</v>
      </c>
      <c r="BX55" t="e">
        <f>AND(#REF!,"AAAAAB9/fks=")</f>
        <v>#REF!</v>
      </c>
      <c r="BY55" t="e">
        <f>AND(#REF!,"AAAAAB9/fkw=")</f>
        <v>#REF!</v>
      </c>
      <c r="BZ55" t="e">
        <f>AND(#REF!,"AAAAAB9/fk0=")</f>
        <v>#REF!</v>
      </c>
      <c r="CA55" t="e">
        <f>AND(#REF!,"AAAAAB9/fk4=")</f>
        <v>#REF!</v>
      </c>
      <c r="CB55" t="e">
        <f>AND(#REF!,"AAAAAB9/fk8=")</f>
        <v>#REF!</v>
      </c>
      <c r="CC55" t="e">
        <f>AND(#REF!,"AAAAAB9/flA=")</f>
        <v>#REF!</v>
      </c>
      <c r="CD55" t="e">
        <f>AND(#REF!,"AAAAAB9/flE=")</f>
        <v>#REF!</v>
      </c>
      <c r="CE55" t="e">
        <f>AND(#REF!,"AAAAAB9/flI=")</f>
        <v>#REF!</v>
      </c>
      <c r="CF55" t="e">
        <f>AND(#REF!,"AAAAAB9/flM=")</f>
        <v>#REF!</v>
      </c>
      <c r="CG55" t="e">
        <f>AND(#REF!,"AAAAAB9/flQ=")</f>
        <v>#REF!</v>
      </c>
      <c r="CH55" t="e">
        <f>AND(#REF!,"AAAAAB9/flU=")</f>
        <v>#REF!</v>
      </c>
      <c r="CI55" t="e">
        <f>AND(#REF!,"AAAAAB9/flY=")</f>
        <v>#REF!</v>
      </c>
      <c r="CJ55" t="e">
        <f>IF(#REF!,"AAAAAB9/flc=",0)</f>
        <v>#REF!</v>
      </c>
      <c r="CK55" t="e">
        <f>AND(#REF!,"AAAAAB9/flg=")</f>
        <v>#REF!</v>
      </c>
      <c r="CL55" t="e">
        <f>AND(#REF!,"AAAAAB9/flk=")</f>
        <v>#REF!</v>
      </c>
      <c r="CM55" t="e">
        <f>AND(#REF!,"AAAAAB9/flo=")</f>
        <v>#REF!</v>
      </c>
      <c r="CN55" t="e">
        <f>AND(#REF!,"AAAAAB9/fls=")</f>
        <v>#REF!</v>
      </c>
      <c r="CO55" t="e">
        <f>AND(#REF!,"AAAAAB9/flw=")</f>
        <v>#REF!</v>
      </c>
      <c r="CP55" t="e">
        <f>AND(#REF!,"AAAAAB9/fl0=")</f>
        <v>#REF!</v>
      </c>
      <c r="CQ55" t="e">
        <f>AND(#REF!,"AAAAAB9/fl4=")</f>
        <v>#REF!</v>
      </c>
      <c r="CR55" t="e">
        <f>AND(#REF!,"AAAAAB9/fl8=")</f>
        <v>#REF!</v>
      </c>
      <c r="CS55" t="e">
        <f>AND(#REF!,"AAAAAB9/fmA=")</f>
        <v>#REF!</v>
      </c>
      <c r="CT55" t="e">
        <f>AND(#REF!,"AAAAAB9/fmE=")</f>
        <v>#REF!</v>
      </c>
      <c r="CU55" t="e">
        <f>AND(#REF!,"AAAAAB9/fmI=")</f>
        <v>#REF!</v>
      </c>
      <c r="CV55" t="e">
        <f>AND(#REF!,"AAAAAB9/fmM=")</f>
        <v>#REF!</v>
      </c>
      <c r="CW55" t="e">
        <f>AND(#REF!,"AAAAAB9/fmQ=")</f>
        <v>#REF!</v>
      </c>
      <c r="CX55" t="e">
        <f>AND(#REF!,"AAAAAB9/fmU=")</f>
        <v>#REF!</v>
      </c>
      <c r="CY55" t="e">
        <f>AND(#REF!,"AAAAAB9/fmY=")</f>
        <v>#REF!</v>
      </c>
      <c r="CZ55" t="e">
        <f>AND(#REF!,"AAAAAB9/fmc=")</f>
        <v>#REF!</v>
      </c>
      <c r="DA55" t="e">
        <f>AND(#REF!,"AAAAAB9/fmg=")</f>
        <v>#REF!</v>
      </c>
      <c r="DB55" t="e">
        <f>AND(#REF!,"AAAAAB9/fmk=")</f>
        <v>#REF!</v>
      </c>
      <c r="DC55" t="e">
        <f>AND(#REF!,"AAAAAB9/fmo=")</f>
        <v>#REF!</v>
      </c>
      <c r="DD55" t="e">
        <f>AND(#REF!,"AAAAAB9/fms=")</f>
        <v>#REF!</v>
      </c>
      <c r="DE55" t="e">
        <f>AND(#REF!,"AAAAAB9/fmw=")</f>
        <v>#REF!</v>
      </c>
      <c r="DF55" t="e">
        <f>AND(#REF!,"AAAAAB9/fm0=")</f>
        <v>#REF!</v>
      </c>
      <c r="DG55" t="e">
        <f>AND(#REF!,"AAAAAB9/fm4=")</f>
        <v>#REF!</v>
      </c>
      <c r="DH55" t="e">
        <f>AND(#REF!,"AAAAAB9/fm8=")</f>
        <v>#REF!</v>
      </c>
      <c r="DI55" t="e">
        <f>AND(#REF!,"AAAAAB9/fnA=")</f>
        <v>#REF!</v>
      </c>
      <c r="DJ55" t="e">
        <f>AND(#REF!,"AAAAAB9/fnE=")</f>
        <v>#REF!</v>
      </c>
      <c r="DK55" t="e">
        <f>AND(#REF!,"AAAAAB9/fnI=")</f>
        <v>#REF!</v>
      </c>
      <c r="DL55" t="e">
        <f>AND(#REF!,"AAAAAB9/fnM=")</f>
        <v>#REF!</v>
      </c>
      <c r="DM55" t="e">
        <f>AND(#REF!,"AAAAAB9/fnQ=")</f>
        <v>#REF!</v>
      </c>
      <c r="DN55" t="e">
        <f>AND(#REF!,"AAAAAB9/fnU=")</f>
        <v>#REF!</v>
      </c>
      <c r="DO55" t="e">
        <f>AND(#REF!,"AAAAAB9/fnY=")</f>
        <v>#REF!</v>
      </c>
      <c r="DP55" t="e">
        <f>AND(#REF!,"AAAAAB9/fnc=")</f>
        <v>#REF!</v>
      </c>
      <c r="DQ55" t="e">
        <f>AND(#REF!,"AAAAAB9/fng=")</f>
        <v>#REF!</v>
      </c>
      <c r="DR55" t="e">
        <f>AND(#REF!,"AAAAAB9/fnk=")</f>
        <v>#REF!</v>
      </c>
      <c r="DS55" t="e">
        <f>AND(#REF!,"AAAAAB9/fno=")</f>
        <v>#REF!</v>
      </c>
      <c r="DT55" t="e">
        <f>AND(#REF!,"AAAAAB9/fns=")</f>
        <v>#REF!</v>
      </c>
      <c r="DU55" t="e">
        <f>AND(#REF!,"AAAAAB9/fnw=")</f>
        <v>#REF!</v>
      </c>
      <c r="DV55" t="e">
        <f>AND(#REF!,"AAAAAB9/fn0=")</f>
        <v>#REF!</v>
      </c>
      <c r="DW55" t="e">
        <f>AND(#REF!,"AAAAAB9/fn4=")</f>
        <v>#REF!</v>
      </c>
      <c r="DX55" t="e">
        <f>AND(#REF!,"AAAAAB9/fn8=")</f>
        <v>#REF!</v>
      </c>
      <c r="DY55" t="e">
        <f>AND(#REF!,"AAAAAB9/foA=")</f>
        <v>#REF!</v>
      </c>
      <c r="DZ55" t="e">
        <f>IF(#REF!,"AAAAAB9/foE=",0)</f>
        <v>#REF!</v>
      </c>
      <c r="EA55" t="e">
        <f>AND(#REF!,"AAAAAB9/foI=")</f>
        <v>#REF!</v>
      </c>
      <c r="EB55" t="e">
        <f>AND(#REF!,"AAAAAB9/foM=")</f>
        <v>#REF!</v>
      </c>
      <c r="EC55" t="e">
        <f>AND(#REF!,"AAAAAB9/foQ=")</f>
        <v>#REF!</v>
      </c>
      <c r="ED55" t="e">
        <f>AND(#REF!,"AAAAAB9/foU=")</f>
        <v>#REF!</v>
      </c>
      <c r="EE55" t="e">
        <f>AND(#REF!,"AAAAAB9/foY=")</f>
        <v>#REF!</v>
      </c>
      <c r="EF55" t="e">
        <f>AND(#REF!,"AAAAAB9/foc=")</f>
        <v>#REF!</v>
      </c>
      <c r="EG55" t="e">
        <f>AND(#REF!,"AAAAAB9/fog=")</f>
        <v>#REF!</v>
      </c>
      <c r="EH55" t="e">
        <f>AND(#REF!,"AAAAAB9/fok=")</f>
        <v>#REF!</v>
      </c>
      <c r="EI55" t="e">
        <f>AND(#REF!,"AAAAAB9/foo=")</f>
        <v>#REF!</v>
      </c>
      <c r="EJ55" t="e">
        <f>AND(#REF!,"AAAAAB9/fos=")</f>
        <v>#REF!</v>
      </c>
      <c r="EK55" t="e">
        <f>AND(#REF!,"AAAAAB9/fow=")</f>
        <v>#REF!</v>
      </c>
      <c r="EL55" t="e">
        <f>AND(#REF!,"AAAAAB9/fo0=")</f>
        <v>#REF!</v>
      </c>
      <c r="EM55" t="e">
        <f>AND(#REF!,"AAAAAB9/fo4=")</f>
        <v>#REF!</v>
      </c>
      <c r="EN55" t="e">
        <f>AND(#REF!,"AAAAAB9/fo8=")</f>
        <v>#REF!</v>
      </c>
      <c r="EO55" t="e">
        <f>AND(#REF!,"AAAAAB9/fpA=")</f>
        <v>#REF!</v>
      </c>
      <c r="EP55" t="e">
        <f>AND(#REF!,"AAAAAB9/fpE=")</f>
        <v>#REF!</v>
      </c>
      <c r="EQ55" t="e">
        <f>AND(#REF!,"AAAAAB9/fpI=")</f>
        <v>#REF!</v>
      </c>
      <c r="ER55" t="e">
        <f>AND(#REF!,"AAAAAB9/fpM=")</f>
        <v>#REF!</v>
      </c>
      <c r="ES55" t="e">
        <f>AND(#REF!,"AAAAAB9/fpQ=")</f>
        <v>#REF!</v>
      </c>
      <c r="ET55" t="e">
        <f>AND(#REF!,"AAAAAB9/fpU=")</f>
        <v>#REF!</v>
      </c>
      <c r="EU55" t="e">
        <f>AND(#REF!,"AAAAAB9/fpY=")</f>
        <v>#REF!</v>
      </c>
      <c r="EV55" t="e">
        <f>AND(#REF!,"AAAAAB9/fpc=")</f>
        <v>#REF!</v>
      </c>
      <c r="EW55" t="e">
        <f>AND(#REF!,"AAAAAB9/fpg=")</f>
        <v>#REF!</v>
      </c>
      <c r="EX55" t="e">
        <f>AND(#REF!,"AAAAAB9/fpk=")</f>
        <v>#REF!</v>
      </c>
      <c r="EY55" t="e">
        <f>AND(#REF!,"AAAAAB9/fpo=")</f>
        <v>#REF!</v>
      </c>
      <c r="EZ55" t="e">
        <f>AND(#REF!,"AAAAAB9/fps=")</f>
        <v>#REF!</v>
      </c>
      <c r="FA55" t="e">
        <f>AND(#REF!,"AAAAAB9/fpw=")</f>
        <v>#REF!</v>
      </c>
      <c r="FB55" t="e">
        <f>AND(#REF!,"AAAAAB9/fp0=")</f>
        <v>#REF!</v>
      </c>
      <c r="FC55" t="e">
        <f>AND(#REF!,"AAAAAB9/fp4=")</f>
        <v>#REF!</v>
      </c>
      <c r="FD55" t="e">
        <f>AND(#REF!,"AAAAAB9/fp8=")</f>
        <v>#REF!</v>
      </c>
      <c r="FE55" t="e">
        <f>AND(#REF!,"AAAAAB9/fqA=")</f>
        <v>#REF!</v>
      </c>
      <c r="FF55" t="e">
        <f>AND(#REF!,"AAAAAB9/fqE=")</f>
        <v>#REF!</v>
      </c>
      <c r="FG55" t="e">
        <f>AND(#REF!,"AAAAAB9/fqI=")</f>
        <v>#REF!</v>
      </c>
      <c r="FH55" t="e">
        <f>AND(#REF!,"AAAAAB9/fqM=")</f>
        <v>#REF!</v>
      </c>
      <c r="FI55" t="e">
        <f>AND(#REF!,"AAAAAB9/fqQ=")</f>
        <v>#REF!</v>
      </c>
      <c r="FJ55" t="e">
        <f>AND(#REF!,"AAAAAB9/fqU=")</f>
        <v>#REF!</v>
      </c>
      <c r="FK55" t="e">
        <f>AND(#REF!,"AAAAAB9/fqY=")</f>
        <v>#REF!</v>
      </c>
      <c r="FL55" t="e">
        <f>AND(#REF!,"AAAAAB9/fqc=")</f>
        <v>#REF!</v>
      </c>
      <c r="FM55" t="e">
        <f>AND(#REF!,"AAAAAB9/fqg=")</f>
        <v>#REF!</v>
      </c>
      <c r="FN55" t="e">
        <f>AND(#REF!,"AAAAAB9/fqk=")</f>
        <v>#REF!</v>
      </c>
      <c r="FO55" t="e">
        <f>AND(#REF!,"AAAAAB9/fqo=")</f>
        <v>#REF!</v>
      </c>
      <c r="FP55" t="e">
        <f>IF(#REF!,"AAAAAB9/fqs=",0)</f>
        <v>#REF!</v>
      </c>
      <c r="FQ55" t="e">
        <f>AND(#REF!,"AAAAAB9/fqw=")</f>
        <v>#REF!</v>
      </c>
      <c r="FR55" t="e">
        <f>AND(#REF!,"AAAAAB9/fq0=")</f>
        <v>#REF!</v>
      </c>
      <c r="FS55" t="e">
        <f>AND(#REF!,"AAAAAB9/fq4=")</f>
        <v>#REF!</v>
      </c>
      <c r="FT55" t="e">
        <f>AND(#REF!,"AAAAAB9/fq8=")</f>
        <v>#REF!</v>
      </c>
      <c r="FU55" t="e">
        <f>AND(#REF!,"AAAAAB9/frA=")</f>
        <v>#REF!</v>
      </c>
      <c r="FV55" t="e">
        <f>AND(#REF!,"AAAAAB9/frE=")</f>
        <v>#REF!</v>
      </c>
      <c r="FW55" t="e">
        <f>AND(#REF!,"AAAAAB9/frI=")</f>
        <v>#REF!</v>
      </c>
      <c r="FX55" t="e">
        <f>AND(#REF!,"AAAAAB9/frM=")</f>
        <v>#REF!</v>
      </c>
      <c r="FY55" t="e">
        <f>AND(#REF!,"AAAAAB9/frQ=")</f>
        <v>#REF!</v>
      </c>
      <c r="FZ55" t="e">
        <f>AND(#REF!,"AAAAAB9/frU=")</f>
        <v>#REF!</v>
      </c>
      <c r="GA55" t="e">
        <f>AND(#REF!,"AAAAAB9/frY=")</f>
        <v>#REF!</v>
      </c>
      <c r="GB55" t="e">
        <f>AND(#REF!,"AAAAAB9/frc=")</f>
        <v>#REF!</v>
      </c>
      <c r="GC55" t="e">
        <f>AND(#REF!,"AAAAAB9/frg=")</f>
        <v>#REF!</v>
      </c>
      <c r="GD55" t="e">
        <f>AND(#REF!,"AAAAAB9/frk=")</f>
        <v>#REF!</v>
      </c>
      <c r="GE55" t="e">
        <f>AND(#REF!,"AAAAAB9/fro=")</f>
        <v>#REF!</v>
      </c>
      <c r="GF55" t="e">
        <f>AND(#REF!,"AAAAAB9/frs=")</f>
        <v>#REF!</v>
      </c>
      <c r="GG55" t="e">
        <f>AND(#REF!,"AAAAAB9/frw=")</f>
        <v>#REF!</v>
      </c>
      <c r="GH55" t="e">
        <f>AND(#REF!,"AAAAAB9/fr0=")</f>
        <v>#REF!</v>
      </c>
      <c r="GI55" t="e">
        <f>AND(#REF!,"AAAAAB9/fr4=")</f>
        <v>#REF!</v>
      </c>
      <c r="GJ55" t="e">
        <f>AND(#REF!,"AAAAAB9/fr8=")</f>
        <v>#REF!</v>
      </c>
      <c r="GK55" t="e">
        <f>AND(#REF!,"AAAAAB9/fsA=")</f>
        <v>#REF!</v>
      </c>
      <c r="GL55" t="e">
        <f>AND(#REF!,"AAAAAB9/fsE=")</f>
        <v>#REF!</v>
      </c>
      <c r="GM55" t="e">
        <f>AND(#REF!,"AAAAAB9/fsI=")</f>
        <v>#REF!</v>
      </c>
      <c r="GN55" t="e">
        <f>AND(#REF!,"AAAAAB9/fsM=")</f>
        <v>#REF!</v>
      </c>
      <c r="GO55" t="e">
        <f>AND(#REF!,"AAAAAB9/fsQ=")</f>
        <v>#REF!</v>
      </c>
      <c r="GP55" t="e">
        <f>AND(#REF!,"AAAAAB9/fsU=")</f>
        <v>#REF!</v>
      </c>
      <c r="GQ55" t="e">
        <f>AND(#REF!,"AAAAAB9/fsY=")</f>
        <v>#REF!</v>
      </c>
      <c r="GR55" t="e">
        <f>AND(#REF!,"AAAAAB9/fsc=")</f>
        <v>#REF!</v>
      </c>
      <c r="GS55" t="e">
        <f>AND(#REF!,"AAAAAB9/fsg=")</f>
        <v>#REF!</v>
      </c>
      <c r="GT55" t="e">
        <f>AND(#REF!,"AAAAAB9/fsk=")</f>
        <v>#REF!</v>
      </c>
      <c r="GU55" t="e">
        <f>AND(#REF!,"AAAAAB9/fso=")</f>
        <v>#REF!</v>
      </c>
      <c r="GV55" t="e">
        <f>AND(#REF!,"AAAAAB9/fss=")</f>
        <v>#REF!</v>
      </c>
      <c r="GW55" t="e">
        <f>AND(#REF!,"AAAAAB9/fsw=")</f>
        <v>#REF!</v>
      </c>
      <c r="GX55" t="e">
        <f>AND(#REF!,"AAAAAB9/fs0=")</f>
        <v>#REF!</v>
      </c>
      <c r="GY55" t="e">
        <f>AND(#REF!,"AAAAAB9/fs4=")</f>
        <v>#REF!</v>
      </c>
      <c r="GZ55" t="e">
        <f>AND(#REF!,"AAAAAB9/fs8=")</f>
        <v>#REF!</v>
      </c>
      <c r="HA55" t="e">
        <f>AND(#REF!,"AAAAAB9/ftA=")</f>
        <v>#REF!</v>
      </c>
      <c r="HB55" t="e">
        <f>AND(#REF!,"AAAAAB9/ftE=")</f>
        <v>#REF!</v>
      </c>
      <c r="HC55" t="e">
        <f>AND(#REF!,"AAAAAB9/ftI=")</f>
        <v>#REF!</v>
      </c>
      <c r="HD55" t="e">
        <f>AND(#REF!,"AAAAAB9/ftM=")</f>
        <v>#REF!</v>
      </c>
      <c r="HE55" t="e">
        <f>AND(#REF!,"AAAAAB9/ftQ=")</f>
        <v>#REF!</v>
      </c>
      <c r="HF55" t="e">
        <f>IF(#REF!,"AAAAAB9/ftU=",0)</f>
        <v>#REF!</v>
      </c>
      <c r="HG55" t="e">
        <f>AND(#REF!,"AAAAAB9/ftY=")</f>
        <v>#REF!</v>
      </c>
      <c r="HH55" t="e">
        <f>AND(#REF!,"AAAAAB9/ftc=")</f>
        <v>#REF!</v>
      </c>
      <c r="HI55" t="e">
        <f>AND(#REF!,"AAAAAB9/ftg=")</f>
        <v>#REF!</v>
      </c>
      <c r="HJ55" t="e">
        <f>AND(#REF!,"AAAAAB9/ftk=")</f>
        <v>#REF!</v>
      </c>
      <c r="HK55" t="e">
        <f>AND(#REF!,"AAAAAB9/fto=")</f>
        <v>#REF!</v>
      </c>
      <c r="HL55" t="e">
        <f>AND(#REF!,"AAAAAB9/fts=")</f>
        <v>#REF!</v>
      </c>
      <c r="HM55" t="e">
        <f>AND(#REF!,"AAAAAB9/ftw=")</f>
        <v>#REF!</v>
      </c>
      <c r="HN55" t="e">
        <f>AND(#REF!,"AAAAAB9/ft0=")</f>
        <v>#REF!</v>
      </c>
      <c r="HO55" t="e">
        <f>AND(#REF!,"AAAAAB9/ft4=")</f>
        <v>#REF!</v>
      </c>
      <c r="HP55" t="e">
        <f>AND(#REF!,"AAAAAB9/ft8=")</f>
        <v>#REF!</v>
      </c>
      <c r="HQ55" t="e">
        <f>AND(#REF!,"AAAAAB9/fuA=")</f>
        <v>#REF!</v>
      </c>
      <c r="HR55" t="e">
        <f>AND(#REF!,"AAAAAB9/fuE=")</f>
        <v>#REF!</v>
      </c>
      <c r="HS55" t="e">
        <f>AND(#REF!,"AAAAAB9/fuI=")</f>
        <v>#REF!</v>
      </c>
      <c r="HT55" t="e">
        <f>AND(#REF!,"AAAAAB9/fuM=")</f>
        <v>#REF!</v>
      </c>
      <c r="HU55" t="e">
        <f>AND(#REF!,"AAAAAB9/fuQ=")</f>
        <v>#REF!</v>
      </c>
      <c r="HV55" t="e">
        <f>AND(#REF!,"AAAAAB9/fuU=")</f>
        <v>#REF!</v>
      </c>
      <c r="HW55" t="e">
        <f>AND(#REF!,"AAAAAB9/fuY=")</f>
        <v>#REF!</v>
      </c>
      <c r="HX55" t="e">
        <f>AND(#REF!,"AAAAAB9/fuc=")</f>
        <v>#REF!</v>
      </c>
      <c r="HY55" t="e">
        <f>AND(#REF!,"AAAAAB9/fug=")</f>
        <v>#REF!</v>
      </c>
      <c r="HZ55" t="e">
        <f>AND(#REF!,"AAAAAB9/fuk=")</f>
        <v>#REF!</v>
      </c>
      <c r="IA55" t="e">
        <f>AND(#REF!,"AAAAAB9/fuo=")</f>
        <v>#REF!</v>
      </c>
      <c r="IB55" t="e">
        <f>AND(#REF!,"AAAAAB9/fus=")</f>
        <v>#REF!</v>
      </c>
      <c r="IC55" t="e">
        <f>AND(#REF!,"AAAAAB9/fuw=")</f>
        <v>#REF!</v>
      </c>
      <c r="ID55" t="e">
        <f>AND(#REF!,"AAAAAB9/fu0=")</f>
        <v>#REF!</v>
      </c>
      <c r="IE55" t="e">
        <f>AND(#REF!,"AAAAAB9/fu4=")</f>
        <v>#REF!</v>
      </c>
      <c r="IF55" t="e">
        <f>AND(#REF!,"AAAAAB9/fu8=")</f>
        <v>#REF!</v>
      </c>
      <c r="IG55" t="e">
        <f>AND(#REF!,"AAAAAB9/fvA=")</f>
        <v>#REF!</v>
      </c>
      <c r="IH55" t="e">
        <f>AND(#REF!,"AAAAAB9/fvE=")</f>
        <v>#REF!</v>
      </c>
      <c r="II55" t="e">
        <f>AND(#REF!,"AAAAAB9/fvI=")</f>
        <v>#REF!</v>
      </c>
      <c r="IJ55" t="e">
        <f>AND(#REF!,"AAAAAB9/fvM=")</f>
        <v>#REF!</v>
      </c>
      <c r="IK55" t="e">
        <f>AND(#REF!,"AAAAAB9/fvQ=")</f>
        <v>#REF!</v>
      </c>
      <c r="IL55" t="e">
        <f>AND(#REF!,"AAAAAB9/fvU=")</f>
        <v>#REF!</v>
      </c>
      <c r="IM55" t="e">
        <f>AND(#REF!,"AAAAAB9/fvY=")</f>
        <v>#REF!</v>
      </c>
      <c r="IN55" t="e">
        <f>AND(#REF!,"AAAAAB9/fvc=")</f>
        <v>#REF!</v>
      </c>
      <c r="IO55" t="e">
        <f>AND(#REF!,"AAAAAB9/fvg=")</f>
        <v>#REF!</v>
      </c>
      <c r="IP55" t="e">
        <f>AND(#REF!,"AAAAAB9/fvk=")</f>
        <v>#REF!</v>
      </c>
      <c r="IQ55" t="e">
        <f>AND(#REF!,"AAAAAB9/fvo=")</f>
        <v>#REF!</v>
      </c>
      <c r="IR55" t="e">
        <f>AND(#REF!,"AAAAAB9/fvs=")</f>
        <v>#REF!</v>
      </c>
      <c r="IS55" t="e">
        <f>AND(#REF!,"AAAAAB9/fvw=")</f>
        <v>#REF!</v>
      </c>
      <c r="IT55" t="e">
        <f>AND(#REF!,"AAAAAB9/fv0=")</f>
        <v>#REF!</v>
      </c>
      <c r="IU55" t="e">
        <f>AND(#REF!,"AAAAAB9/fv4=")</f>
        <v>#REF!</v>
      </c>
      <c r="IV55" t="e">
        <f>IF(#REF!,"AAAAAB9/fv8=",0)</f>
        <v>#REF!</v>
      </c>
    </row>
    <row r="56" spans="1:256">
      <c r="A56" t="e">
        <f>AND(#REF!,"AAAAAH8z9wA=")</f>
        <v>#REF!</v>
      </c>
      <c r="B56" t="e">
        <f>AND(#REF!,"AAAAAH8z9wE=")</f>
        <v>#REF!</v>
      </c>
      <c r="C56" t="e">
        <f>AND(#REF!,"AAAAAH8z9wI=")</f>
        <v>#REF!</v>
      </c>
      <c r="D56" t="e">
        <f>AND(#REF!,"AAAAAH8z9wM=")</f>
        <v>#REF!</v>
      </c>
      <c r="E56" t="e">
        <f>AND(#REF!,"AAAAAH8z9wQ=")</f>
        <v>#REF!</v>
      </c>
      <c r="F56" t="e">
        <f>AND(#REF!,"AAAAAH8z9wU=")</f>
        <v>#REF!</v>
      </c>
      <c r="G56" t="e">
        <f>AND(#REF!,"AAAAAH8z9wY=")</f>
        <v>#REF!</v>
      </c>
      <c r="H56" t="e">
        <f>AND(#REF!,"AAAAAH8z9wc=")</f>
        <v>#REF!</v>
      </c>
      <c r="I56" t="e">
        <f>AND(#REF!,"AAAAAH8z9wg=")</f>
        <v>#REF!</v>
      </c>
      <c r="J56" t="e">
        <f>AND(#REF!,"AAAAAH8z9wk=")</f>
        <v>#REF!</v>
      </c>
      <c r="K56" t="e">
        <f>AND(#REF!,"AAAAAH8z9wo=")</f>
        <v>#REF!</v>
      </c>
      <c r="L56" t="e">
        <f>AND(#REF!,"AAAAAH8z9ws=")</f>
        <v>#REF!</v>
      </c>
      <c r="M56" t="e">
        <f>AND(#REF!,"AAAAAH8z9ww=")</f>
        <v>#REF!</v>
      </c>
      <c r="N56" t="e">
        <f>AND(#REF!,"AAAAAH8z9w0=")</f>
        <v>#REF!</v>
      </c>
      <c r="O56" t="e">
        <f>AND(#REF!,"AAAAAH8z9w4=")</f>
        <v>#REF!</v>
      </c>
      <c r="P56" t="e">
        <f>AND(#REF!,"AAAAAH8z9w8=")</f>
        <v>#REF!</v>
      </c>
      <c r="Q56" t="e">
        <f>AND(#REF!,"AAAAAH8z9xA=")</f>
        <v>#REF!</v>
      </c>
      <c r="R56" t="e">
        <f>AND(#REF!,"AAAAAH8z9xE=")</f>
        <v>#REF!</v>
      </c>
      <c r="S56" t="e">
        <f>AND(#REF!,"AAAAAH8z9xI=")</f>
        <v>#REF!</v>
      </c>
      <c r="T56" t="e">
        <f>AND(#REF!,"AAAAAH8z9xM=")</f>
        <v>#REF!</v>
      </c>
      <c r="U56" t="e">
        <f>AND(#REF!,"AAAAAH8z9xQ=")</f>
        <v>#REF!</v>
      </c>
      <c r="V56" t="e">
        <f>AND(#REF!,"AAAAAH8z9xU=")</f>
        <v>#REF!</v>
      </c>
      <c r="W56" t="e">
        <f>AND(#REF!,"AAAAAH8z9xY=")</f>
        <v>#REF!</v>
      </c>
      <c r="X56" t="e">
        <f>AND(#REF!,"AAAAAH8z9xc=")</f>
        <v>#REF!</v>
      </c>
      <c r="Y56" t="e">
        <f>AND(#REF!,"AAAAAH8z9xg=")</f>
        <v>#REF!</v>
      </c>
      <c r="Z56" t="e">
        <f>AND(#REF!,"AAAAAH8z9xk=")</f>
        <v>#REF!</v>
      </c>
      <c r="AA56" t="e">
        <f>AND(#REF!,"AAAAAH8z9xo=")</f>
        <v>#REF!</v>
      </c>
      <c r="AB56" t="e">
        <f>AND(#REF!,"AAAAAH8z9xs=")</f>
        <v>#REF!</v>
      </c>
      <c r="AC56" t="e">
        <f>AND(#REF!,"AAAAAH8z9xw=")</f>
        <v>#REF!</v>
      </c>
      <c r="AD56" t="e">
        <f>AND(#REF!,"AAAAAH8z9x0=")</f>
        <v>#REF!</v>
      </c>
      <c r="AE56" t="e">
        <f>AND(#REF!,"AAAAAH8z9x4=")</f>
        <v>#REF!</v>
      </c>
      <c r="AF56" t="e">
        <f>AND(#REF!,"AAAAAH8z9x8=")</f>
        <v>#REF!</v>
      </c>
      <c r="AG56" t="e">
        <f>AND(#REF!,"AAAAAH8z9yA=")</f>
        <v>#REF!</v>
      </c>
      <c r="AH56" t="e">
        <f>AND(#REF!,"AAAAAH8z9yE=")</f>
        <v>#REF!</v>
      </c>
      <c r="AI56" t="e">
        <f>AND(#REF!,"AAAAAH8z9yI=")</f>
        <v>#REF!</v>
      </c>
      <c r="AJ56" t="e">
        <f>AND(#REF!,"AAAAAH8z9yM=")</f>
        <v>#REF!</v>
      </c>
      <c r="AK56" t="e">
        <f>AND(#REF!,"AAAAAH8z9yQ=")</f>
        <v>#REF!</v>
      </c>
      <c r="AL56" t="e">
        <f>AND(#REF!,"AAAAAH8z9yU=")</f>
        <v>#REF!</v>
      </c>
      <c r="AM56" t="e">
        <f>AND(#REF!,"AAAAAH8z9yY=")</f>
        <v>#REF!</v>
      </c>
      <c r="AN56" t="e">
        <f>AND(#REF!,"AAAAAH8z9yc=")</f>
        <v>#REF!</v>
      </c>
      <c r="AO56" t="e">
        <f>AND(#REF!,"AAAAAH8z9yg=")</f>
        <v>#REF!</v>
      </c>
      <c r="AP56" t="e">
        <f>IF(#REF!,"AAAAAH8z9yk=",0)</f>
        <v>#REF!</v>
      </c>
      <c r="AQ56" t="e">
        <f>AND(#REF!,"AAAAAH8z9yo=")</f>
        <v>#REF!</v>
      </c>
      <c r="AR56" t="e">
        <f>AND(#REF!,"AAAAAH8z9ys=")</f>
        <v>#REF!</v>
      </c>
      <c r="AS56" t="e">
        <f>AND(#REF!,"AAAAAH8z9yw=")</f>
        <v>#REF!</v>
      </c>
      <c r="AT56" t="e">
        <f>AND(#REF!,"AAAAAH8z9y0=")</f>
        <v>#REF!</v>
      </c>
      <c r="AU56" t="e">
        <f>AND(#REF!,"AAAAAH8z9y4=")</f>
        <v>#REF!</v>
      </c>
      <c r="AV56" t="e">
        <f>AND(#REF!,"AAAAAH8z9y8=")</f>
        <v>#REF!</v>
      </c>
      <c r="AW56" t="e">
        <f>AND(#REF!,"AAAAAH8z9zA=")</f>
        <v>#REF!</v>
      </c>
      <c r="AX56" t="e">
        <f>AND(#REF!,"AAAAAH8z9zE=")</f>
        <v>#REF!</v>
      </c>
      <c r="AY56" t="e">
        <f>AND(#REF!,"AAAAAH8z9zI=")</f>
        <v>#REF!</v>
      </c>
      <c r="AZ56" t="e">
        <f>AND(#REF!,"AAAAAH8z9zM=")</f>
        <v>#REF!</v>
      </c>
      <c r="BA56" t="e">
        <f>AND(#REF!,"AAAAAH8z9zQ=")</f>
        <v>#REF!</v>
      </c>
      <c r="BB56" t="e">
        <f>AND(#REF!,"AAAAAH8z9zU=")</f>
        <v>#REF!</v>
      </c>
      <c r="BC56" t="e">
        <f>AND(#REF!,"AAAAAH8z9zY=")</f>
        <v>#REF!</v>
      </c>
      <c r="BD56" t="e">
        <f>AND(#REF!,"AAAAAH8z9zc=")</f>
        <v>#REF!</v>
      </c>
      <c r="BE56" t="e">
        <f>AND(#REF!,"AAAAAH8z9zg=")</f>
        <v>#REF!</v>
      </c>
      <c r="BF56" t="e">
        <f>AND(#REF!,"AAAAAH8z9zk=")</f>
        <v>#REF!</v>
      </c>
      <c r="BG56" t="e">
        <f>AND(#REF!,"AAAAAH8z9zo=")</f>
        <v>#REF!</v>
      </c>
      <c r="BH56" t="e">
        <f>AND(#REF!,"AAAAAH8z9zs=")</f>
        <v>#REF!</v>
      </c>
      <c r="BI56" t="e">
        <f>AND(#REF!,"AAAAAH8z9zw=")</f>
        <v>#REF!</v>
      </c>
      <c r="BJ56" t="e">
        <f>AND(#REF!,"AAAAAH8z9z0=")</f>
        <v>#REF!</v>
      </c>
      <c r="BK56" t="e">
        <f>AND(#REF!,"AAAAAH8z9z4=")</f>
        <v>#REF!</v>
      </c>
      <c r="BL56" t="e">
        <f>AND(#REF!,"AAAAAH8z9z8=")</f>
        <v>#REF!</v>
      </c>
      <c r="BM56" t="e">
        <f>AND(#REF!,"AAAAAH8z90A=")</f>
        <v>#REF!</v>
      </c>
      <c r="BN56" t="e">
        <f>AND(#REF!,"AAAAAH8z90E=")</f>
        <v>#REF!</v>
      </c>
      <c r="BO56" t="e">
        <f>AND(#REF!,"AAAAAH8z90I=")</f>
        <v>#REF!</v>
      </c>
      <c r="BP56" t="e">
        <f>AND(#REF!,"AAAAAH8z90M=")</f>
        <v>#REF!</v>
      </c>
      <c r="BQ56" t="e">
        <f>AND(#REF!,"AAAAAH8z90Q=")</f>
        <v>#REF!</v>
      </c>
      <c r="BR56" t="e">
        <f>AND(#REF!,"AAAAAH8z90U=")</f>
        <v>#REF!</v>
      </c>
      <c r="BS56" t="e">
        <f>AND(#REF!,"AAAAAH8z90Y=")</f>
        <v>#REF!</v>
      </c>
      <c r="BT56" t="e">
        <f>AND(#REF!,"AAAAAH8z90c=")</f>
        <v>#REF!</v>
      </c>
      <c r="BU56" t="e">
        <f>AND(#REF!,"AAAAAH8z90g=")</f>
        <v>#REF!</v>
      </c>
      <c r="BV56" t="e">
        <f>AND(#REF!,"AAAAAH8z90k=")</f>
        <v>#REF!</v>
      </c>
      <c r="BW56" t="e">
        <f>AND(#REF!,"AAAAAH8z90o=")</f>
        <v>#REF!</v>
      </c>
      <c r="BX56" t="e">
        <f>AND(#REF!,"AAAAAH8z90s=")</f>
        <v>#REF!</v>
      </c>
      <c r="BY56" t="e">
        <f>AND(#REF!,"AAAAAH8z90w=")</f>
        <v>#REF!</v>
      </c>
      <c r="BZ56" t="e">
        <f>AND(#REF!,"AAAAAH8z900=")</f>
        <v>#REF!</v>
      </c>
      <c r="CA56" t="e">
        <f>AND(#REF!,"AAAAAH8z904=")</f>
        <v>#REF!</v>
      </c>
      <c r="CB56" t="e">
        <f>AND(#REF!,"AAAAAH8z908=")</f>
        <v>#REF!</v>
      </c>
      <c r="CC56" t="e">
        <f>AND(#REF!,"AAAAAH8z91A=")</f>
        <v>#REF!</v>
      </c>
      <c r="CD56" t="e">
        <f>AND(#REF!,"AAAAAH8z91E=")</f>
        <v>#REF!</v>
      </c>
      <c r="CE56" t="e">
        <f>AND(#REF!,"AAAAAH8z91I=")</f>
        <v>#REF!</v>
      </c>
      <c r="CF56" t="e">
        <f>IF(#REF!,"AAAAAH8z91M=",0)</f>
        <v>#REF!</v>
      </c>
      <c r="CG56" t="e">
        <f>AND(#REF!,"AAAAAH8z91Q=")</f>
        <v>#REF!</v>
      </c>
      <c r="CH56" t="e">
        <f>AND(#REF!,"AAAAAH8z91U=")</f>
        <v>#REF!</v>
      </c>
      <c r="CI56" t="e">
        <f>AND(#REF!,"AAAAAH8z91Y=")</f>
        <v>#REF!</v>
      </c>
      <c r="CJ56" t="e">
        <f>AND(#REF!,"AAAAAH8z91c=")</f>
        <v>#REF!</v>
      </c>
      <c r="CK56" t="e">
        <f>AND(#REF!,"AAAAAH8z91g=")</f>
        <v>#REF!</v>
      </c>
      <c r="CL56" t="e">
        <f>AND(#REF!,"AAAAAH8z91k=")</f>
        <v>#REF!</v>
      </c>
      <c r="CM56" t="e">
        <f>AND(#REF!,"AAAAAH8z91o=")</f>
        <v>#REF!</v>
      </c>
      <c r="CN56" t="e">
        <f>AND(#REF!,"AAAAAH8z91s=")</f>
        <v>#REF!</v>
      </c>
      <c r="CO56" t="e">
        <f>AND(#REF!,"AAAAAH8z91w=")</f>
        <v>#REF!</v>
      </c>
      <c r="CP56" t="e">
        <f>AND(#REF!,"AAAAAH8z910=")</f>
        <v>#REF!</v>
      </c>
      <c r="CQ56" t="e">
        <f>AND(#REF!,"AAAAAH8z914=")</f>
        <v>#REF!</v>
      </c>
      <c r="CR56" t="e">
        <f>AND(#REF!,"AAAAAH8z918=")</f>
        <v>#REF!</v>
      </c>
      <c r="CS56" t="e">
        <f>AND(#REF!,"AAAAAH8z92A=")</f>
        <v>#REF!</v>
      </c>
      <c r="CT56" t="e">
        <f>AND(#REF!,"AAAAAH8z92E=")</f>
        <v>#REF!</v>
      </c>
      <c r="CU56" t="e">
        <f>AND(#REF!,"AAAAAH8z92I=")</f>
        <v>#REF!</v>
      </c>
      <c r="CV56" t="e">
        <f>AND(#REF!,"AAAAAH8z92M=")</f>
        <v>#REF!</v>
      </c>
      <c r="CW56" t="e">
        <f>AND(#REF!,"AAAAAH8z92Q=")</f>
        <v>#REF!</v>
      </c>
      <c r="CX56" t="e">
        <f>AND(#REF!,"AAAAAH8z92U=")</f>
        <v>#REF!</v>
      </c>
      <c r="CY56" t="e">
        <f>AND(#REF!,"AAAAAH8z92Y=")</f>
        <v>#REF!</v>
      </c>
      <c r="CZ56" t="e">
        <f>AND(#REF!,"AAAAAH8z92c=")</f>
        <v>#REF!</v>
      </c>
      <c r="DA56" t="e">
        <f>AND(#REF!,"AAAAAH8z92g=")</f>
        <v>#REF!</v>
      </c>
      <c r="DB56" t="e">
        <f>AND(#REF!,"AAAAAH8z92k=")</f>
        <v>#REF!</v>
      </c>
      <c r="DC56" t="e">
        <f>AND(#REF!,"AAAAAH8z92o=")</f>
        <v>#REF!</v>
      </c>
      <c r="DD56" t="e">
        <f>AND(#REF!,"AAAAAH8z92s=")</f>
        <v>#REF!</v>
      </c>
      <c r="DE56" t="e">
        <f>AND(#REF!,"AAAAAH8z92w=")</f>
        <v>#REF!</v>
      </c>
      <c r="DF56" t="e">
        <f>AND(#REF!,"AAAAAH8z920=")</f>
        <v>#REF!</v>
      </c>
      <c r="DG56" t="e">
        <f>AND(#REF!,"AAAAAH8z924=")</f>
        <v>#REF!</v>
      </c>
      <c r="DH56" t="e">
        <f>AND(#REF!,"AAAAAH8z928=")</f>
        <v>#REF!</v>
      </c>
      <c r="DI56" t="e">
        <f>AND(#REF!,"AAAAAH8z93A=")</f>
        <v>#REF!</v>
      </c>
      <c r="DJ56" t="e">
        <f>AND(#REF!,"AAAAAH8z93E=")</f>
        <v>#REF!</v>
      </c>
      <c r="DK56" t="e">
        <f>AND(#REF!,"AAAAAH8z93I=")</f>
        <v>#REF!</v>
      </c>
      <c r="DL56" t="e">
        <f>AND(#REF!,"AAAAAH8z93M=")</f>
        <v>#REF!</v>
      </c>
      <c r="DM56" t="e">
        <f>AND(#REF!,"AAAAAH8z93Q=")</f>
        <v>#REF!</v>
      </c>
      <c r="DN56" t="e">
        <f>AND(#REF!,"AAAAAH8z93U=")</f>
        <v>#REF!</v>
      </c>
      <c r="DO56" t="e">
        <f>AND(#REF!,"AAAAAH8z93Y=")</f>
        <v>#REF!</v>
      </c>
      <c r="DP56" t="e">
        <f>AND(#REF!,"AAAAAH8z93c=")</f>
        <v>#REF!</v>
      </c>
      <c r="DQ56" t="e">
        <f>AND(#REF!,"AAAAAH8z93g=")</f>
        <v>#REF!</v>
      </c>
      <c r="DR56" t="e">
        <f>AND(#REF!,"AAAAAH8z93k=")</f>
        <v>#REF!</v>
      </c>
      <c r="DS56" t="e">
        <f>AND(#REF!,"AAAAAH8z93o=")</f>
        <v>#REF!</v>
      </c>
      <c r="DT56" t="e">
        <f>AND(#REF!,"AAAAAH8z93s=")</f>
        <v>#REF!</v>
      </c>
      <c r="DU56" t="e">
        <f>AND(#REF!,"AAAAAH8z93w=")</f>
        <v>#REF!</v>
      </c>
      <c r="DV56" t="e">
        <f>IF(#REF!,"AAAAAH8z930=",0)</f>
        <v>#REF!</v>
      </c>
      <c r="DW56" t="e">
        <f>AND(#REF!,"AAAAAH8z934=")</f>
        <v>#REF!</v>
      </c>
      <c r="DX56" t="e">
        <f>AND(#REF!,"AAAAAH8z938=")</f>
        <v>#REF!</v>
      </c>
      <c r="DY56" t="e">
        <f>AND(#REF!,"AAAAAH8z94A=")</f>
        <v>#REF!</v>
      </c>
      <c r="DZ56" t="e">
        <f>AND(#REF!,"AAAAAH8z94E=")</f>
        <v>#REF!</v>
      </c>
      <c r="EA56" t="e">
        <f>AND(#REF!,"AAAAAH8z94I=")</f>
        <v>#REF!</v>
      </c>
      <c r="EB56" t="e">
        <f>AND(#REF!,"AAAAAH8z94M=")</f>
        <v>#REF!</v>
      </c>
      <c r="EC56" t="e">
        <f>AND(#REF!,"AAAAAH8z94Q=")</f>
        <v>#REF!</v>
      </c>
      <c r="ED56" t="e">
        <f>AND(#REF!,"AAAAAH8z94U=")</f>
        <v>#REF!</v>
      </c>
      <c r="EE56" t="e">
        <f>AND(#REF!,"AAAAAH8z94Y=")</f>
        <v>#REF!</v>
      </c>
      <c r="EF56" t="e">
        <f>AND(#REF!,"AAAAAH8z94c=")</f>
        <v>#REF!</v>
      </c>
      <c r="EG56" t="e">
        <f>AND(#REF!,"AAAAAH8z94g=")</f>
        <v>#REF!</v>
      </c>
      <c r="EH56" t="e">
        <f>AND(#REF!,"AAAAAH8z94k=")</f>
        <v>#REF!</v>
      </c>
      <c r="EI56" t="e">
        <f>AND(#REF!,"AAAAAH8z94o=")</f>
        <v>#REF!</v>
      </c>
      <c r="EJ56" t="e">
        <f>AND(#REF!,"AAAAAH8z94s=")</f>
        <v>#REF!</v>
      </c>
      <c r="EK56" t="e">
        <f>AND(#REF!,"AAAAAH8z94w=")</f>
        <v>#REF!</v>
      </c>
      <c r="EL56" t="e">
        <f>AND(#REF!,"AAAAAH8z940=")</f>
        <v>#REF!</v>
      </c>
      <c r="EM56" t="e">
        <f>AND(#REF!,"AAAAAH8z944=")</f>
        <v>#REF!</v>
      </c>
      <c r="EN56" t="e">
        <f>AND(#REF!,"AAAAAH8z948=")</f>
        <v>#REF!</v>
      </c>
      <c r="EO56" t="e">
        <f>AND(#REF!,"AAAAAH8z95A=")</f>
        <v>#REF!</v>
      </c>
      <c r="EP56" t="e">
        <f>AND(#REF!,"AAAAAH8z95E=")</f>
        <v>#REF!</v>
      </c>
      <c r="EQ56" t="e">
        <f>AND(#REF!,"AAAAAH8z95I=")</f>
        <v>#REF!</v>
      </c>
      <c r="ER56" t="e">
        <f>AND(#REF!,"AAAAAH8z95M=")</f>
        <v>#REF!</v>
      </c>
      <c r="ES56" t="e">
        <f>AND(#REF!,"AAAAAH8z95Q=")</f>
        <v>#REF!</v>
      </c>
      <c r="ET56" t="e">
        <f>AND(#REF!,"AAAAAH8z95U=")</f>
        <v>#REF!</v>
      </c>
      <c r="EU56" t="e">
        <f>AND(#REF!,"AAAAAH8z95Y=")</f>
        <v>#REF!</v>
      </c>
      <c r="EV56" t="e">
        <f>AND(#REF!,"AAAAAH8z95c=")</f>
        <v>#REF!</v>
      </c>
      <c r="EW56" t="e">
        <f>AND(#REF!,"AAAAAH8z95g=")</f>
        <v>#REF!</v>
      </c>
      <c r="EX56" t="e">
        <f>AND(#REF!,"AAAAAH8z95k=")</f>
        <v>#REF!</v>
      </c>
      <c r="EY56" t="e">
        <f>AND(#REF!,"AAAAAH8z95o=")</f>
        <v>#REF!</v>
      </c>
      <c r="EZ56" t="e">
        <f>AND(#REF!,"AAAAAH8z95s=")</f>
        <v>#REF!</v>
      </c>
      <c r="FA56" t="e">
        <f>AND(#REF!,"AAAAAH8z95w=")</f>
        <v>#REF!</v>
      </c>
      <c r="FB56" t="e">
        <f>AND(#REF!,"AAAAAH8z950=")</f>
        <v>#REF!</v>
      </c>
      <c r="FC56" t="e">
        <f>AND(#REF!,"AAAAAH8z954=")</f>
        <v>#REF!</v>
      </c>
      <c r="FD56" t="e">
        <f>AND(#REF!,"AAAAAH8z958=")</f>
        <v>#REF!</v>
      </c>
      <c r="FE56" t="e">
        <f>AND(#REF!,"AAAAAH8z96A=")</f>
        <v>#REF!</v>
      </c>
      <c r="FF56" t="e">
        <f>AND(#REF!,"AAAAAH8z96E=")</f>
        <v>#REF!</v>
      </c>
      <c r="FG56" t="e">
        <f>AND(#REF!,"AAAAAH8z96I=")</f>
        <v>#REF!</v>
      </c>
      <c r="FH56" t="e">
        <f>AND(#REF!,"AAAAAH8z96M=")</f>
        <v>#REF!</v>
      </c>
      <c r="FI56" t="e">
        <f>AND(#REF!,"AAAAAH8z96Q=")</f>
        <v>#REF!</v>
      </c>
      <c r="FJ56" t="e">
        <f>AND(#REF!,"AAAAAH8z96U=")</f>
        <v>#REF!</v>
      </c>
      <c r="FK56" t="e">
        <f>AND(#REF!,"AAAAAH8z96Y=")</f>
        <v>#REF!</v>
      </c>
      <c r="FL56" t="e">
        <f>IF(#REF!,"AAAAAH8z96c=",0)</f>
        <v>#REF!</v>
      </c>
      <c r="FM56" t="e">
        <f>AND(#REF!,"AAAAAH8z96g=")</f>
        <v>#REF!</v>
      </c>
      <c r="FN56" t="e">
        <f>AND(#REF!,"AAAAAH8z96k=")</f>
        <v>#REF!</v>
      </c>
      <c r="FO56" t="e">
        <f>AND(#REF!,"AAAAAH8z96o=")</f>
        <v>#REF!</v>
      </c>
      <c r="FP56" t="e">
        <f>AND(#REF!,"AAAAAH8z96s=")</f>
        <v>#REF!</v>
      </c>
      <c r="FQ56" t="e">
        <f>AND(#REF!,"AAAAAH8z96w=")</f>
        <v>#REF!</v>
      </c>
      <c r="FR56" t="e">
        <f>AND(#REF!,"AAAAAH8z960=")</f>
        <v>#REF!</v>
      </c>
      <c r="FS56" t="e">
        <f>AND(#REF!,"AAAAAH8z964=")</f>
        <v>#REF!</v>
      </c>
      <c r="FT56" t="e">
        <f>AND(#REF!,"AAAAAH8z968=")</f>
        <v>#REF!</v>
      </c>
      <c r="FU56" t="e">
        <f>AND(#REF!,"AAAAAH8z97A=")</f>
        <v>#REF!</v>
      </c>
      <c r="FV56" t="e">
        <f>AND(#REF!,"AAAAAH8z97E=")</f>
        <v>#REF!</v>
      </c>
      <c r="FW56" t="e">
        <f>AND(#REF!,"AAAAAH8z97I=")</f>
        <v>#REF!</v>
      </c>
      <c r="FX56" t="e">
        <f>AND(#REF!,"AAAAAH8z97M=")</f>
        <v>#REF!</v>
      </c>
      <c r="FY56" t="e">
        <f>AND(#REF!,"AAAAAH8z97Q=")</f>
        <v>#REF!</v>
      </c>
      <c r="FZ56" t="e">
        <f>AND(#REF!,"AAAAAH8z97U=")</f>
        <v>#REF!</v>
      </c>
      <c r="GA56" t="e">
        <f>AND(#REF!,"AAAAAH8z97Y=")</f>
        <v>#REF!</v>
      </c>
      <c r="GB56" t="e">
        <f>AND(#REF!,"AAAAAH8z97c=")</f>
        <v>#REF!</v>
      </c>
      <c r="GC56" t="e">
        <f>AND(#REF!,"AAAAAH8z97g=")</f>
        <v>#REF!</v>
      </c>
      <c r="GD56" t="e">
        <f>AND(#REF!,"AAAAAH8z97k=")</f>
        <v>#REF!</v>
      </c>
      <c r="GE56" t="e">
        <f>AND(#REF!,"AAAAAH8z97o=")</f>
        <v>#REF!</v>
      </c>
      <c r="GF56" t="e">
        <f>AND(#REF!,"AAAAAH8z97s=")</f>
        <v>#REF!</v>
      </c>
      <c r="GG56" t="e">
        <f>AND(#REF!,"AAAAAH8z97w=")</f>
        <v>#REF!</v>
      </c>
      <c r="GH56" t="e">
        <f>AND(#REF!,"AAAAAH8z970=")</f>
        <v>#REF!</v>
      </c>
      <c r="GI56" t="e">
        <f>AND(#REF!,"AAAAAH8z974=")</f>
        <v>#REF!</v>
      </c>
      <c r="GJ56" t="e">
        <f>AND(#REF!,"AAAAAH8z978=")</f>
        <v>#REF!</v>
      </c>
      <c r="GK56" t="e">
        <f>AND(#REF!,"AAAAAH8z98A=")</f>
        <v>#REF!</v>
      </c>
      <c r="GL56" t="e">
        <f>AND(#REF!,"AAAAAH8z98E=")</f>
        <v>#REF!</v>
      </c>
      <c r="GM56" t="e">
        <f>AND(#REF!,"AAAAAH8z98I=")</f>
        <v>#REF!</v>
      </c>
      <c r="GN56" t="e">
        <f>AND(#REF!,"AAAAAH8z98M=")</f>
        <v>#REF!</v>
      </c>
      <c r="GO56" t="e">
        <f>AND(#REF!,"AAAAAH8z98Q=")</f>
        <v>#REF!</v>
      </c>
      <c r="GP56" t="e">
        <f>AND(#REF!,"AAAAAH8z98U=")</f>
        <v>#REF!</v>
      </c>
      <c r="GQ56" t="e">
        <f>AND(#REF!,"AAAAAH8z98Y=")</f>
        <v>#REF!</v>
      </c>
      <c r="GR56" t="e">
        <f>AND(#REF!,"AAAAAH8z98c=")</f>
        <v>#REF!</v>
      </c>
      <c r="GS56" t="e">
        <f>AND(#REF!,"AAAAAH8z98g=")</f>
        <v>#REF!</v>
      </c>
      <c r="GT56" t="e">
        <f>AND(#REF!,"AAAAAH8z98k=")</f>
        <v>#REF!</v>
      </c>
      <c r="GU56" t="e">
        <f>AND(#REF!,"AAAAAH8z98o=")</f>
        <v>#REF!</v>
      </c>
      <c r="GV56" t="e">
        <f>AND(#REF!,"AAAAAH8z98s=")</f>
        <v>#REF!</v>
      </c>
      <c r="GW56" t="e">
        <f>AND(#REF!,"AAAAAH8z98w=")</f>
        <v>#REF!</v>
      </c>
      <c r="GX56" t="e">
        <f>AND(#REF!,"AAAAAH8z980=")</f>
        <v>#REF!</v>
      </c>
      <c r="GY56" t="e">
        <f>AND(#REF!,"AAAAAH8z984=")</f>
        <v>#REF!</v>
      </c>
      <c r="GZ56" t="e">
        <f>AND(#REF!,"AAAAAH8z988=")</f>
        <v>#REF!</v>
      </c>
      <c r="HA56" t="e">
        <f>AND(#REF!,"AAAAAH8z99A=")</f>
        <v>#REF!</v>
      </c>
      <c r="HB56" t="e">
        <f>IF(#REF!,"AAAAAH8z99E=",0)</f>
        <v>#REF!</v>
      </c>
      <c r="HC56" t="e">
        <f>AND(#REF!,"AAAAAH8z99I=")</f>
        <v>#REF!</v>
      </c>
      <c r="HD56" t="e">
        <f>AND(#REF!,"AAAAAH8z99M=")</f>
        <v>#REF!</v>
      </c>
      <c r="HE56" t="e">
        <f>AND(#REF!,"AAAAAH8z99Q=")</f>
        <v>#REF!</v>
      </c>
      <c r="HF56" t="e">
        <f>AND(#REF!,"AAAAAH8z99U=")</f>
        <v>#REF!</v>
      </c>
      <c r="HG56" t="e">
        <f>AND(#REF!,"AAAAAH8z99Y=")</f>
        <v>#REF!</v>
      </c>
      <c r="HH56" t="e">
        <f>AND(#REF!,"AAAAAH8z99c=")</f>
        <v>#REF!</v>
      </c>
      <c r="HI56" t="e">
        <f>AND(#REF!,"AAAAAH8z99g=")</f>
        <v>#REF!</v>
      </c>
      <c r="HJ56" t="e">
        <f>AND(#REF!,"AAAAAH8z99k=")</f>
        <v>#REF!</v>
      </c>
      <c r="HK56" t="e">
        <f>AND(#REF!,"AAAAAH8z99o=")</f>
        <v>#REF!</v>
      </c>
      <c r="HL56" t="e">
        <f>AND(#REF!,"AAAAAH8z99s=")</f>
        <v>#REF!</v>
      </c>
      <c r="HM56" t="e">
        <f>AND(#REF!,"AAAAAH8z99w=")</f>
        <v>#REF!</v>
      </c>
      <c r="HN56" t="e">
        <f>AND(#REF!,"AAAAAH8z990=")</f>
        <v>#REF!</v>
      </c>
      <c r="HO56" t="e">
        <f>AND(#REF!,"AAAAAH8z994=")</f>
        <v>#REF!</v>
      </c>
      <c r="HP56" t="e">
        <f>AND(#REF!,"AAAAAH8z998=")</f>
        <v>#REF!</v>
      </c>
      <c r="HQ56" t="e">
        <f>AND(#REF!,"AAAAAH8z9+A=")</f>
        <v>#REF!</v>
      </c>
      <c r="HR56" t="e">
        <f>AND(#REF!,"AAAAAH8z9+E=")</f>
        <v>#REF!</v>
      </c>
      <c r="HS56" t="e">
        <f>AND(#REF!,"AAAAAH8z9+I=")</f>
        <v>#REF!</v>
      </c>
      <c r="HT56" t="e">
        <f>AND(#REF!,"AAAAAH8z9+M=")</f>
        <v>#REF!</v>
      </c>
      <c r="HU56" t="e">
        <f>AND(#REF!,"AAAAAH8z9+Q=")</f>
        <v>#REF!</v>
      </c>
      <c r="HV56" t="e">
        <f>AND(#REF!,"AAAAAH8z9+U=")</f>
        <v>#REF!</v>
      </c>
      <c r="HW56" t="e">
        <f>AND(#REF!,"AAAAAH8z9+Y=")</f>
        <v>#REF!</v>
      </c>
      <c r="HX56" t="e">
        <f>AND(#REF!,"AAAAAH8z9+c=")</f>
        <v>#REF!</v>
      </c>
      <c r="HY56" t="e">
        <f>AND(#REF!,"AAAAAH8z9+g=")</f>
        <v>#REF!</v>
      </c>
      <c r="HZ56" t="e">
        <f>AND(#REF!,"AAAAAH8z9+k=")</f>
        <v>#REF!</v>
      </c>
      <c r="IA56" t="e">
        <f>AND(#REF!,"AAAAAH8z9+o=")</f>
        <v>#REF!</v>
      </c>
      <c r="IB56" t="e">
        <f>AND(#REF!,"AAAAAH8z9+s=")</f>
        <v>#REF!</v>
      </c>
      <c r="IC56" t="e">
        <f>AND(#REF!,"AAAAAH8z9+w=")</f>
        <v>#REF!</v>
      </c>
      <c r="ID56" t="e">
        <f>AND(#REF!,"AAAAAH8z9+0=")</f>
        <v>#REF!</v>
      </c>
      <c r="IE56" t="e">
        <f>AND(#REF!,"AAAAAH8z9+4=")</f>
        <v>#REF!</v>
      </c>
      <c r="IF56" t="e">
        <f>AND(#REF!,"AAAAAH8z9+8=")</f>
        <v>#REF!</v>
      </c>
      <c r="IG56" t="e">
        <f>AND(#REF!,"AAAAAH8z9/A=")</f>
        <v>#REF!</v>
      </c>
      <c r="IH56" t="e">
        <f>AND(#REF!,"AAAAAH8z9/E=")</f>
        <v>#REF!</v>
      </c>
      <c r="II56" t="e">
        <f>AND(#REF!,"AAAAAH8z9/I=")</f>
        <v>#REF!</v>
      </c>
      <c r="IJ56" t="e">
        <f>AND(#REF!,"AAAAAH8z9/M=")</f>
        <v>#REF!</v>
      </c>
      <c r="IK56" t="e">
        <f>AND(#REF!,"AAAAAH8z9/Q=")</f>
        <v>#REF!</v>
      </c>
      <c r="IL56" t="e">
        <f>AND(#REF!,"AAAAAH8z9/U=")</f>
        <v>#REF!</v>
      </c>
      <c r="IM56" t="e">
        <f>AND(#REF!,"AAAAAH8z9/Y=")</f>
        <v>#REF!</v>
      </c>
      <c r="IN56" t="e">
        <f>AND(#REF!,"AAAAAH8z9/c=")</f>
        <v>#REF!</v>
      </c>
      <c r="IO56" t="e">
        <f>AND(#REF!,"AAAAAH8z9/g=")</f>
        <v>#REF!</v>
      </c>
      <c r="IP56" t="e">
        <f>AND(#REF!,"AAAAAH8z9/k=")</f>
        <v>#REF!</v>
      </c>
      <c r="IQ56" t="e">
        <f>AND(#REF!,"AAAAAH8z9/o=")</f>
        <v>#REF!</v>
      </c>
      <c r="IR56" t="e">
        <f>IF(#REF!,"AAAAAH8z9/s=",0)</f>
        <v>#REF!</v>
      </c>
      <c r="IS56" t="e">
        <f>AND(#REF!,"AAAAAH8z9/w=")</f>
        <v>#REF!</v>
      </c>
      <c r="IT56" t="e">
        <f>AND(#REF!,"AAAAAH8z9/0=")</f>
        <v>#REF!</v>
      </c>
      <c r="IU56" t="e">
        <f>AND(#REF!,"AAAAAH8z9/4=")</f>
        <v>#REF!</v>
      </c>
      <c r="IV56" t="e">
        <f>AND(#REF!,"AAAAAH8z9/8=")</f>
        <v>#REF!</v>
      </c>
    </row>
    <row r="57" spans="1:256">
      <c r="A57" t="e">
        <f>AND(#REF!,"AAAAAF37YQA=")</f>
        <v>#REF!</v>
      </c>
      <c r="B57" t="e">
        <f>AND(#REF!,"AAAAAF37YQE=")</f>
        <v>#REF!</v>
      </c>
      <c r="C57" t="e">
        <f>AND(#REF!,"AAAAAF37YQI=")</f>
        <v>#REF!</v>
      </c>
      <c r="D57" t="e">
        <f>AND(#REF!,"AAAAAF37YQM=")</f>
        <v>#REF!</v>
      </c>
      <c r="E57" t="e">
        <f>AND(#REF!,"AAAAAF37YQQ=")</f>
        <v>#REF!</v>
      </c>
      <c r="F57" t="e">
        <f>AND(#REF!,"AAAAAF37YQU=")</f>
        <v>#REF!</v>
      </c>
      <c r="G57" t="e">
        <f>AND(#REF!,"AAAAAF37YQY=")</f>
        <v>#REF!</v>
      </c>
      <c r="H57" t="e">
        <f>AND(#REF!,"AAAAAF37YQc=")</f>
        <v>#REF!</v>
      </c>
      <c r="I57" t="e">
        <f>AND(#REF!,"AAAAAF37YQg=")</f>
        <v>#REF!</v>
      </c>
      <c r="J57" t="e">
        <f>AND(#REF!,"AAAAAF37YQk=")</f>
        <v>#REF!</v>
      </c>
      <c r="K57" t="e">
        <f>AND(#REF!,"AAAAAF37YQo=")</f>
        <v>#REF!</v>
      </c>
      <c r="L57" t="e">
        <f>AND(#REF!,"AAAAAF37YQs=")</f>
        <v>#REF!</v>
      </c>
      <c r="M57" t="e">
        <f>AND(#REF!,"AAAAAF37YQw=")</f>
        <v>#REF!</v>
      </c>
      <c r="N57" t="e">
        <f>AND(#REF!,"AAAAAF37YQ0=")</f>
        <v>#REF!</v>
      </c>
      <c r="O57" t="e">
        <f>AND(#REF!,"AAAAAF37YQ4=")</f>
        <v>#REF!</v>
      </c>
      <c r="P57" t="e">
        <f>AND(#REF!,"AAAAAF37YQ8=")</f>
        <v>#REF!</v>
      </c>
      <c r="Q57" t="e">
        <f>AND(#REF!,"AAAAAF37YRA=")</f>
        <v>#REF!</v>
      </c>
      <c r="R57" t="e">
        <f>AND(#REF!,"AAAAAF37YRE=")</f>
        <v>#REF!</v>
      </c>
      <c r="S57" t="e">
        <f>AND(#REF!,"AAAAAF37YRI=")</f>
        <v>#REF!</v>
      </c>
      <c r="T57" t="e">
        <f>AND(#REF!,"AAAAAF37YRM=")</f>
        <v>#REF!</v>
      </c>
      <c r="U57" t="e">
        <f>AND(#REF!,"AAAAAF37YRQ=")</f>
        <v>#REF!</v>
      </c>
      <c r="V57" t="e">
        <f>AND(#REF!,"AAAAAF37YRU=")</f>
        <v>#REF!</v>
      </c>
      <c r="W57" t="e">
        <f>AND(#REF!,"AAAAAF37YRY=")</f>
        <v>#REF!</v>
      </c>
      <c r="X57" t="e">
        <f>AND(#REF!,"AAAAAF37YRc=")</f>
        <v>#REF!</v>
      </c>
      <c r="Y57" t="e">
        <f>AND(#REF!,"AAAAAF37YRg=")</f>
        <v>#REF!</v>
      </c>
      <c r="Z57" t="e">
        <f>AND(#REF!,"AAAAAF37YRk=")</f>
        <v>#REF!</v>
      </c>
      <c r="AA57" t="e">
        <f>AND(#REF!,"AAAAAF37YRo=")</f>
        <v>#REF!</v>
      </c>
      <c r="AB57" t="e">
        <f>AND(#REF!,"AAAAAF37YRs=")</f>
        <v>#REF!</v>
      </c>
      <c r="AC57" t="e">
        <f>AND(#REF!,"AAAAAF37YRw=")</f>
        <v>#REF!</v>
      </c>
      <c r="AD57" t="e">
        <f>AND(#REF!,"AAAAAF37YR0=")</f>
        <v>#REF!</v>
      </c>
      <c r="AE57" t="e">
        <f>AND(#REF!,"AAAAAF37YR4=")</f>
        <v>#REF!</v>
      </c>
      <c r="AF57" t="e">
        <f>AND(#REF!,"AAAAAF37YR8=")</f>
        <v>#REF!</v>
      </c>
      <c r="AG57" t="e">
        <f>AND(#REF!,"AAAAAF37YSA=")</f>
        <v>#REF!</v>
      </c>
      <c r="AH57" t="e">
        <f>AND(#REF!,"AAAAAF37YSE=")</f>
        <v>#REF!</v>
      </c>
      <c r="AI57" t="e">
        <f>AND(#REF!,"AAAAAF37YSI=")</f>
        <v>#REF!</v>
      </c>
      <c r="AJ57" t="e">
        <f>AND(#REF!,"AAAAAF37YSM=")</f>
        <v>#REF!</v>
      </c>
      <c r="AK57" t="e">
        <f>AND(#REF!,"AAAAAF37YSQ=")</f>
        <v>#REF!</v>
      </c>
      <c r="AL57" t="e">
        <f>IF(#REF!,"AAAAAF37YSU=",0)</f>
        <v>#REF!</v>
      </c>
      <c r="AM57" t="e">
        <f>AND(#REF!,"AAAAAF37YSY=")</f>
        <v>#REF!</v>
      </c>
      <c r="AN57" t="e">
        <f>AND(#REF!,"AAAAAF37YSc=")</f>
        <v>#REF!</v>
      </c>
      <c r="AO57" t="e">
        <f>AND(#REF!,"AAAAAF37YSg=")</f>
        <v>#REF!</v>
      </c>
      <c r="AP57" t="e">
        <f>AND(#REF!,"AAAAAF37YSk=")</f>
        <v>#REF!</v>
      </c>
      <c r="AQ57" t="e">
        <f>AND(#REF!,"AAAAAF37YSo=")</f>
        <v>#REF!</v>
      </c>
      <c r="AR57" t="e">
        <f>AND(#REF!,"AAAAAF37YSs=")</f>
        <v>#REF!</v>
      </c>
      <c r="AS57" t="e">
        <f>AND(#REF!,"AAAAAF37YSw=")</f>
        <v>#REF!</v>
      </c>
      <c r="AT57" t="e">
        <f>AND(#REF!,"AAAAAF37YS0=")</f>
        <v>#REF!</v>
      </c>
      <c r="AU57" t="e">
        <f>AND(#REF!,"AAAAAF37YS4=")</f>
        <v>#REF!</v>
      </c>
      <c r="AV57" t="e">
        <f>AND(#REF!,"AAAAAF37YS8=")</f>
        <v>#REF!</v>
      </c>
      <c r="AW57" t="e">
        <f>AND(#REF!,"AAAAAF37YTA=")</f>
        <v>#REF!</v>
      </c>
      <c r="AX57" t="e">
        <f>AND(#REF!,"AAAAAF37YTE=")</f>
        <v>#REF!</v>
      </c>
      <c r="AY57" t="e">
        <f>AND(#REF!,"AAAAAF37YTI=")</f>
        <v>#REF!</v>
      </c>
      <c r="AZ57" t="e">
        <f>AND(#REF!,"AAAAAF37YTM=")</f>
        <v>#REF!</v>
      </c>
      <c r="BA57" t="e">
        <f>AND(#REF!,"AAAAAF37YTQ=")</f>
        <v>#REF!</v>
      </c>
      <c r="BB57" t="e">
        <f>AND(#REF!,"AAAAAF37YTU=")</f>
        <v>#REF!</v>
      </c>
      <c r="BC57" t="e">
        <f>AND(#REF!,"AAAAAF37YTY=")</f>
        <v>#REF!</v>
      </c>
      <c r="BD57" t="e">
        <f>AND(#REF!,"AAAAAF37YTc=")</f>
        <v>#REF!</v>
      </c>
      <c r="BE57" t="e">
        <f>AND(#REF!,"AAAAAF37YTg=")</f>
        <v>#REF!</v>
      </c>
      <c r="BF57" t="e">
        <f>AND(#REF!,"AAAAAF37YTk=")</f>
        <v>#REF!</v>
      </c>
      <c r="BG57" t="e">
        <f>AND(#REF!,"AAAAAF37YTo=")</f>
        <v>#REF!</v>
      </c>
      <c r="BH57" t="e">
        <f>AND(#REF!,"AAAAAF37YTs=")</f>
        <v>#REF!</v>
      </c>
      <c r="BI57" t="e">
        <f>AND(#REF!,"AAAAAF37YTw=")</f>
        <v>#REF!</v>
      </c>
      <c r="BJ57" t="e">
        <f>AND(#REF!,"AAAAAF37YT0=")</f>
        <v>#REF!</v>
      </c>
      <c r="BK57" t="e">
        <f>AND(#REF!,"AAAAAF37YT4=")</f>
        <v>#REF!</v>
      </c>
      <c r="BL57" t="e">
        <f>AND(#REF!,"AAAAAF37YT8=")</f>
        <v>#REF!</v>
      </c>
      <c r="BM57" t="e">
        <f>AND(#REF!,"AAAAAF37YUA=")</f>
        <v>#REF!</v>
      </c>
      <c r="BN57" t="e">
        <f>AND(#REF!,"AAAAAF37YUE=")</f>
        <v>#REF!</v>
      </c>
      <c r="BO57" t="e">
        <f>AND(#REF!,"AAAAAF37YUI=")</f>
        <v>#REF!</v>
      </c>
      <c r="BP57" t="e">
        <f>AND(#REF!,"AAAAAF37YUM=")</f>
        <v>#REF!</v>
      </c>
      <c r="BQ57" t="e">
        <f>AND(#REF!,"AAAAAF37YUQ=")</f>
        <v>#REF!</v>
      </c>
      <c r="BR57" t="e">
        <f>AND(#REF!,"AAAAAF37YUU=")</f>
        <v>#REF!</v>
      </c>
      <c r="BS57" t="e">
        <f>AND(#REF!,"AAAAAF37YUY=")</f>
        <v>#REF!</v>
      </c>
      <c r="BT57" t="e">
        <f>AND(#REF!,"AAAAAF37YUc=")</f>
        <v>#REF!</v>
      </c>
      <c r="BU57" t="e">
        <f>AND(#REF!,"AAAAAF37YUg=")</f>
        <v>#REF!</v>
      </c>
      <c r="BV57" t="e">
        <f>AND(#REF!,"AAAAAF37YUk=")</f>
        <v>#REF!</v>
      </c>
      <c r="BW57" t="e">
        <f>AND(#REF!,"AAAAAF37YUo=")</f>
        <v>#REF!</v>
      </c>
      <c r="BX57" t="e">
        <f>AND(#REF!,"AAAAAF37YUs=")</f>
        <v>#REF!</v>
      </c>
      <c r="BY57" t="e">
        <f>AND(#REF!,"AAAAAF37YUw=")</f>
        <v>#REF!</v>
      </c>
      <c r="BZ57" t="e">
        <f>AND(#REF!,"AAAAAF37YU0=")</f>
        <v>#REF!</v>
      </c>
      <c r="CA57" t="e">
        <f>AND(#REF!,"AAAAAF37YU4=")</f>
        <v>#REF!</v>
      </c>
      <c r="CB57" t="e">
        <f>IF(#REF!,"AAAAAF37YU8=",0)</f>
        <v>#REF!</v>
      </c>
      <c r="CC57" t="e">
        <f>AND(#REF!,"AAAAAF37YVA=")</f>
        <v>#REF!</v>
      </c>
      <c r="CD57" t="e">
        <f>AND(#REF!,"AAAAAF37YVE=")</f>
        <v>#REF!</v>
      </c>
      <c r="CE57" t="e">
        <f>AND(#REF!,"AAAAAF37YVI=")</f>
        <v>#REF!</v>
      </c>
      <c r="CF57" t="e">
        <f>AND(#REF!,"AAAAAF37YVM=")</f>
        <v>#REF!</v>
      </c>
      <c r="CG57" t="e">
        <f>AND(#REF!,"AAAAAF37YVQ=")</f>
        <v>#REF!</v>
      </c>
      <c r="CH57" t="e">
        <f>AND(#REF!,"AAAAAF37YVU=")</f>
        <v>#REF!</v>
      </c>
      <c r="CI57" t="e">
        <f>AND(#REF!,"AAAAAF37YVY=")</f>
        <v>#REF!</v>
      </c>
      <c r="CJ57" t="e">
        <f>AND(#REF!,"AAAAAF37YVc=")</f>
        <v>#REF!</v>
      </c>
      <c r="CK57" t="e">
        <f>AND(#REF!,"AAAAAF37YVg=")</f>
        <v>#REF!</v>
      </c>
      <c r="CL57" t="e">
        <f>AND(#REF!,"AAAAAF37YVk=")</f>
        <v>#REF!</v>
      </c>
      <c r="CM57" t="e">
        <f>AND(#REF!,"AAAAAF37YVo=")</f>
        <v>#REF!</v>
      </c>
      <c r="CN57" t="e">
        <f>AND(#REF!,"AAAAAF37YVs=")</f>
        <v>#REF!</v>
      </c>
      <c r="CO57" t="e">
        <f>AND(#REF!,"AAAAAF37YVw=")</f>
        <v>#REF!</v>
      </c>
      <c r="CP57" t="e">
        <f>AND(#REF!,"AAAAAF37YV0=")</f>
        <v>#REF!</v>
      </c>
      <c r="CQ57" t="e">
        <f>AND(#REF!,"AAAAAF37YV4=")</f>
        <v>#REF!</v>
      </c>
      <c r="CR57" t="e">
        <f>AND(#REF!,"AAAAAF37YV8=")</f>
        <v>#REF!</v>
      </c>
      <c r="CS57" t="e">
        <f>AND(#REF!,"AAAAAF37YWA=")</f>
        <v>#REF!</v>
      </c>
      <c r="CT57" t="e">
        <f>AND(#REF!,"AAAAAF37YWE=")</f>
        <v>#REF!</v>
      </c>
      <c r="CU57" t="e">
        <f>AND(#REF!,"AAAAAF37YWI=")</f>
        <v>#REF!</v>
      </c>
      <c r="CV57" t="e">
        <f>AND(#REF!,"AAAAAF37YWM=")</f>
        <v>#REF!</v>
      </c>
      <c r="CW57" t="e">
        <f>AND(#REF!,"AAAAAF37YWQ=")</f>
        <v>#REF!</v>
      </c>
      <c r="CX57" t="e">
        <f>AND(#REF!,"AAAAAF37YWU=")</f>
        <v>#REF!</v>
      </c>
      <c r="CY57" t="e">
        <f>AND(#REF!,"AAAAAF37YWY=")</f>
        <v>#REF!</v>
      </c>
      <c r="CZ57" t="e">
        <f>AND(#REF!,"AAAAAF37YWc=")</f>
        <v>#REF!</v>
      </c>
      <c r="DA57" t="e">
        <f>AND(#REF!,"AAAAAF37YWg=")</f>
        <v>#REF!</v>
      </c>
      <c r="DB57" t="e">
        <f>AND(#REF!,"AAAAAF37YWk=")</f>
        <v>#REF!</v>
      </c>
      <c r="DC57" t="e">
        <f>AND(#REF!,"AAAAAF37YWo=")</f>
        <v>#REF!</v>
      </c>
      <c r="DD57" t="e">
        <f>AND(#REF!,"AAAAAF37YWs=")</f>
        <v>#REF!</v>
      </c>
      <c r="DE57" t="e">
        <f>AND(#REF!,"AAAAAF37YWw=")</f>
        <v>#REF!</v>
      </c>
      <c r="DF57" t="e">
        <f>AND(#REF!,"AAAAAF37YW0=")</f>
        <v>#REF!</v>
      </c>
      <c r="DG57" t="e">
        <f>AND(#REF!,"AAAAAF37YW4=")</f>
        <v>#REF!</v>
      </c>
      <c r="DH57" t="e">
        <f>AND(#REF!,"AAAAAF37YW8=")</f>
        <v>#REF!</v>
      </c>
      <c r="DI57" t="e">
        <f>AND(#REF!,"AAAAAF37YXA=")</f>
        <v>#REF!</v>
      </c>
      <c r="DJ57" t="e">
        <f>AND(#REF!,"AAAAAF37YXE=")</f>
        <v>#REF!</v>
      </c>
      <c r="DK57" t="e">
        <f>AND(#REF!,"AAAAAF37YXI=")</f>
        <v>#REF!</v>
      </c>
      <c r="DL57" t="e">
        <f>AND(#REF!,"AAAAAF37YXM=")</f>
        <v>#REF!</v>
      </c>
      <c r="DM57" t="e">
        <f>AND(#REF!,"AAAAAF37YXQ=")</f>
        <v>#REF!</v>
      </c>
      <c r="DN57" t="e">
        <f>AND(#REF!,"AAAAAF37YXU=")</f>
        <v>#REF!</v>
      </c>
      <c r="DO57" t="e">
        <f>AND(#REF!,"AAAAAF37YXY=")</f>
        <v>#REF!</v>
      </c>
      <c r="DP57" t="e">
        <f>AND(#REF!,"AAAAAF37YXc=")</f>
        <v>#REF!</v>
      </c>
      <c r="DQ57" t="e">
        <f>AND(#REF!,"AAAAAF37YXg=")</f>
        <v>#REF!</v>
      </c>
      <c r="DR57" t="e">
        <f>IF(#REF!,"AAAAAF37YXk=",0)</f>
        <v>#REF!</v>
      </c>
      <c r="DS57" t="e">
        <f>AND(#REF!,"AAAAAF37YXo=")</f>
        <v>#REF!</v>
      </c>
      <c r="DT57" t="e">
        <f>AND(#REF!,"AAAAAF37YXs=")</f>
        <v>#REF!</v>
      </c>
      <c r="DU57" t="e">
        <f>AND(#REF!,"AAAAAF37YXw=")</f>
        <v>#REF!</v>
      </c>
      <c r="DV57" t="e">
        <f>AND(#REF!,"AAAAAF37YX0=")</f>
        <v>#REF!</v>
      </c>
      <c r="DW57" t="e">
        <f>AND(#REF!,"AAAAAF37YX4=")</f>
        <v>#REF!</v>
      </c>
      <c r="DX57" t="e">
        <f>AND(#REF!,"AAAAAF37YX8=")</f>
        <v>#REF!</v>
      </c>
      <c r="DY57" t="e">
        <f>AND(#REF!,"AAAAAF37YYA=")</f>
        <v>#REF!</v>
      </c>
      <c r="DZ57" t="e">
        <f>AND(#REF!,"AAAAAF37YYE=")</f>
        <v>#REF!</v>
      </c>
      <c r="EA57" t="e">
        <f>AND(#REF!,"AAAAAF37YYI=")</f>
        <v>#REF!</v>
      </c>
      <c r="EB57" t="e">
        <f>AND(#REF!,"AAAAAF37YYM=")</f>
        <v>#REF!</v>
      </c>
      <c r="EC57" t="e">
        <f>AND(#REF!,"AAAAAF37YYQ=")</f>
        <v>#REF!</v>
      </c>
      <c r="ED57" t="e">
        <f>AND(#REF!,"AAAAAF37YYU=")</f>
        <v>#REF!</v>
      </c>
      <c r="EE57" t="e">
        <f>AND(#REF!,"AAAAAF37YYY=")</f>
        <v>#REF!</v>
      </c>
      <c r="EF57" t="e">
        <f>AND(#REF!,"AAAAAF37YYc=")</f>
        <v>#REF!</v>
      </c>
      <c r="EG57" t="e">
        <f>AND(#REF!,"AAAAAF37YYg=")</f>
        <v>#REF!</v>
      </c>
      <c r="EH57" t="e">
        <f>AND(#REF!,"AAAAAF37YYk=")</f>
        <v>#REF!</v>
      </c>
      <c r="EI57" t="e">
        <f>AND(#REF!,"AAAAAF37YYo=")</f>
        <v>#REF!</v>
      </c>
      <c r="EJ57" t="e">
        <f>AND(#REF!,"AAAAAF37YYs=")</f>
        <v>#REF!</v>
      </c>
      <c r="EK57" t="e">
        <f>AND(#REF!,"AAAAAF37YYw=")</f>
        <v>#REF!</v>
      </c>
      <c r="EL57" t="e">
        <f>AND(#REF!,"AAAAAF37YY0=")</f>
        <v>#REF!</v>
      </c>
      <c r="EM57" t="e">
        <f>AND(#REF!,"AAAAAF37YY4=")</f>
        <v>#REF!</v>
      </c>
      <c r="EN57" t="e">
        <f>AND(#REF!,"AAAAAF37YY8=")</f>
        <v>#REF!</v>
      </c>
      <c r="EO57" t="e">
        <f>AND(#REF!,"AAAAAF37YZA=")</f>
        <v>#REF!</v>
      </c>
      <c r="EP57" t="e">
        <f>AND(#REF!,"AAAAAF37YZE=")</f>
        <v>#REF!</v>
      </c>
      <c r="EQ57" t="e">
        <f>AND(#REF!,"AAAAAF37YZI=")</f>
        <v>#REF!</v>
      </c>
      <c r="ER57" t="e">
        <f>AND(#REF!,"AAAAAF37YZM=")</f>
        <v>#REF!</v>
      </c>
      <c r="ES57" t="e">
        <f>AND(#REF!,"AAAAAF37YZQ=")</f>
        <v>#REF!</v>
      </c>
      <c r="ET57" t="e">
        <f>AND(#REF!,"AAAAAF37YZU=")</f>
        <v>#REF!</v>
      </c>
      <c r="EU57" t="e">
        <f>AND(#REF!,"AAAAAF37YZY=")</f>
        <v>#REF!</v>
      </c>
      <c r="EV57" t="e">
        <f>AND(#REF!,"AAAAAF37YZc=")</f>
        <v>#REF!</v>
      </c>
      <c r="EW57" t="e">
        <f>AND(#REF!,"AAAAAF37YZg=")</f>
        <v>#REF!</v>
      </c>
      <c r="EX57" t="e">
        <f>AND(#REF!,"AAAAAF37YZk=")</f>
        <v>#REF!</v>
      </c>
      <c r="EY57" t="e">
        <f>AND(#REF!,"AAAAAF37YZo=")</f>
        <v>#REF!</v>
      </c>
      <c r="EZ57" t="e">
        <f>AND(#REF!,"AAAAAF37YZs=")</f>
        <v>#REF!</v>
      </c>
      <c r="FA57" t="e">
        <f>AND(#REF!,"AAAAAF37YZw=")</f>
        <v>#REF!</v>
      </c>
      <c r="FB57" t="e">
        <f>AND(#REF!,"AAAAAF37YZ0=")</f>
        <v>#REF!</v>
      </c>
      <c r="FC57" t="e">
        <f>AND(#REF!,"AAAAAF37YZ4=")</f>
        <v>#REF!</v>
      </c>
      <c r="FD57" t="e">
        <f>AND(#REF!,"AAAAAF37YZ8=")</f>
        <v>#REF!</v>
      </c>
      <c r="FE57" t="e">
        <f>AND(#REF!,"AAAAAF37YaA=")</f>
        <v>#REF!</v>
      </c>
      <c r="FF57" t="e">
        <f>AND(#REF!,"AAAAAF37YaE=")</f>
        <v>#REF!</v>
      </c>
      <c r="FG57" t="e">
        <f>AND(#REF!,"AAAAAF37YaI=")</f>
        <v>#REF!</v>
      </c>
      <c r="FH57" t="e">
        <f>IF(#REF!,"AAAAAF37YaM=",0)</f>
        <v>#REF!</v>
      </c>
      <c r="FI57" t="e">
        <f>AND(#REF!,"AAAAAF37YaQ=")</f>
        <v>#REF!</v>
      </c>
      <c r="FJ57" t="e">
        <f>AND(#REF!,"AAAAAF37YaU=")</f>
        <v>#REF!</v>
      </c>
      <c r="FK57" t="e">
        <f>AND(#REF!,"AAAAAF37YaY=")</f>
        <v>#REF!</v>
      </c>
      <c r="FL57" t="e">
        <f>AND(#REF!,"AAAAAF37Yac=")</f>
        <v>#REF!</v>
      </c>
      <c r="FM57" t="e">
        <f>AND(#REF!,"AAAAAF37Yag=")</f>
        <v>#REF!</v>
      </c>
      <c r="FN57" t="e">
        <f>AND(#REF!,"AAAAAF37Yak=")</f>
        <v>#REF!</v>
      </c>
      <c r="FO57" t="e">
        <f>AND(#REF!,"AAAAAF37Yao=")</f>
        <v>#REF!</v>
      </c>
      <c r="FP57" t="e">
        <f>AND(#REF!,"AAAAAF37Yas=")</f>
        <v>#REF!</v>
      </c>
      <c r="FQ57" t="e">
        <f>AND(#REF!,"AAAAAF37Yaw=")</f>
        <v>#REF!</v>
      </c>
      <c r="FR57" t="e">
        <f>AND(#REF!,"AAAAAF37Ya0=")</f>
        <v>#REF!</v>
      </c>
      <c r="FS57" t="e">
        <f>AND(#REF!,"AAAAAF37Ya4=")</f>
        <v>#REF!</v>
      </c>
      <c r="FT57" t="e">
        <f>AND(#REF!,"AAAAAF37Ya8=")</f>
        <v>#REF!</v>
      </c>
      <c r="FU57" t="e">
        <f>AND(#REF!,"AAAAAF37YbA=")</f>
        <v>#REF!</v>
      </c>
      <c r="FV57" t="e">
        <f>AND(#REF!,"AAAAAF37YbE=")</f>
        <v>#REF!</v>
      </c>
      <c r="FW57" t="e">
        <f>AND(#REF!,"AAAAAF37YbI=")</f>
        <v>#REF!</v>
      </c>
      <c r="FX57" t="e">
        <f>AND(#REF!,"AAAAAF37YbM=")</f>
        <v>#REF!</v>
      </c>
      <c r="FY57" t="e">
        <f>AND(#REF!,"AAAAAF37YbQ=")</f>
        <v>#REF!</v>
      </c>
      <c r="FZ57" t="e">
        <f>AND(#REF!,"AAAAAF37YbU=")</f>
        <v>#REF!</v>
      </c>
      <c r="GA57" t="e">
        <f>AND(#REF!,"AAAAAF37YbY=")</f>
        <v>#REF!</v>
      </c>
      <c r="GB57" t="e">
        <f>AND(#REF!,"AAAAAF37Ybc=")</f>
        <v>#REF!</v>
      </c>
      <c r="GC57" t="e">
        <f>AND(#REF!,"AAAAAF37Ybg=")</f>
        <v>#REF!</v>
      </c>
      <c r="GD57" t="e">
        <f>AND(#REF!,"AAAAAF37Ybk=")</f>
        <v>#REF!</v>
      </c>
      <c r="GE57" t="e">
        <f>AND(#REF!,"AAAAAF37Ybo=")</f>
        <v>#REF!</v>
      </c>
      <c r="GF57" t="e">
        <f>AND(#REF!,"AAAAAF37Ybs=")</f>
        <v>#REF!</v>
      </c>
      <c r="GG57" t="e">
        <f>AND(#REF!,"AAAAAF37Ybw=")</f>
        <v>#REF!</v>
      </c>
      <c r="GH57" t="e">
        <f>AND(#REF!,"AAAAAF37Yb0=")</f>
        <v>#REF!</v>
      </c>
      <c r="GI57" t="e">
        <f>AND(#REF!,"AAAAAF37Yb4=")</f>
        <v>#REF!</v>
      </c>
      <c r="GJ57" t="e">
        <f>AND(#REF!,"AAAAAF37Yb8=")</f>
        <v>#REF!</v>
      </c>
      <c r="GK57" t="e">
        <f>AND(#REF!,"AAAAAF37YcA=")</f>
        <v>#REF!</v>
      </c>
      <c r="GL57" t="e">
        <f>AND(#REF!,"AAAAAF37YcE=")</f>
        <v>#REF!</v>
      </c>
      <c r="GM57" t="e">
        <f>AND(#REF!,"AAAAAF37YcI=")</f>
        <v>#REF!</v>
      </c>
      <c r="GN57" t="e">
        <f>AND(#REF!,"AAAAAF37YcM=")</f>
        <v>#REF!</v>
      </c>
      <c r="GO57" t="e">
        <f>AND(#REF!,"AAAAAF37YcQ=")</f>
        <v>#REF!</v>
      </c>
      <c r="GP57" t="e">
        <f>AND(#REF!,"AAAAAF37YcU=")</f>
        <v>#REF!</v>
      </c>
      <c r="GQ57" t="e">
        <f>AND(#REF!,"AAAAAF37YcY=")</f>
        <v>#REF!</v>
      </c>
      <c r="GR57" t="e">
        <f>AND(#REF!,"AAAAAF37Ycc=")</f>
        <v>#REF!</v>
      </c>
      <c r="GS57" t="e">
        <f>AND(#REF!,"AAAAAF37Ycg=")</f>
        <v>#REF!</v>
      </c>
      <c r="GT57" t="e">
        <f>AND(#REF!,"AAAAAF37Yck=")</f>
        <v>#REF!</v>
      </c>
      <c r="GU57" t="e">
        <f>AND(#REF!,"AAAAAF37Yco=")</f>
        <v>#REF!</v>
      </c>
      <c r="GV57" t="e">
        <f>AND(#REF!,"AAAAAF37Ycs=")</f>
        <v>#REF!</v>
      </c>
      <c r="GW57" t="e">
        <f>AND(#REF!,"AAAAAF37Ycw=")</f>
        <v>#REF!</v>
      </c>
      <c r="GX57" t="e">
        <f>IF(#REF!,"AAAAAF37Yc0=",0)</f>
        <v>#REF!</v>
      </c>
      <c r="GY57" t="e">
        <f>AND(#REF!,"AAAAAF37Yc4=")</f>
        <v>#REF!</v>
      </c>
      <c r="GZ57" t="e">
        <f>AND(#REF!,"AAAAAF37Yc8=")</f>
        <v>#REF!</v>
      </c>
      <c r="HA57" t="e">
        <f>AND(#REF!,"AAAAAF37YdA=")</f>
        <v>#REF!</v>
      </c>
      <c r="HB57" t="e">
        <f>AND(#REF!,"AAAAAF37YdE=")</f>
        <v>#REF!</v>
      </c>
      <c r="HC57" t="e">
        <f>AND(#REF!,"AAAAAF37YdI=")</f>
        <v>#REF!</v>
      </c>
      <c r="HD57" t="e">
        <f>AND(#REF!,"AAAAAF37YdM=")</f>
        <v>#REF!</v>
      </c>
      <c r="HE57" t="e">
        <f>AND(#REF!,"AAAAAF37YdQ=")</f>
        <v>#REF!</v>
      </c>
      <c r="HF57" t="e">
        <f>AND(#REF!,"AAAAAF37YdU=")</f>
        <v>#REF!</v>
      </c>
      <c r="HG57" t="e">
        <f>AND(#REF!,"AAAAAF37YdY=")</f>
        <v>#REF!</v>
      </c>
      <c r="HH57" t="e">
        <f>AND(#REF!,"AAAAAF37Ydc=")</f>
        <v>#REF!</v>
      </c>
      <c r="HI57" t="e">
        <f>AND(#REF!,"AAAAAF37Ydg=")</f>
        <v>#REF!</v>
      </c>
      <c r="HJ57" t="e">
        <f>AND(#REF!,"AAAAAF37Ydk=")</f>
        <v>#REF!</v>
      </c>
      <c r="HK57" t="e">
        <f>AND(#REF!,"AAAAAF37Ydo=")</f>
        <v>#REF!</v>
      </c>
      <c r="HL57" t="e">
        <f>AND(#REF!,"AAAAAF37Yds=")</f>
        <v>#REF!</v>
      </c>
      <c r="HM57" t="e">
        <f>AND(#REF!,"AAAAAF37Ydw=")</f>
        <v>#REF!</v>
      </c>
      <c r="HN57" t="e">
        <f>AND(#REF!,"AAAAAF37Yd0=")</f>
        <v>#REF!</v>
      </c>
      <c r="HO57" t="e">
        <f>AND(#REF!,"AAAAAF37Yd4=")</f>
        <v>#REF!</v>
      </c>
      <c r="HP57" t="e">
        <f>AND(#REF!,"AAAAAF37Yd8=")</f>
        <v>#REF!</v>
      </c>
      <c r="HQ57" t="e">
        <f>AND(#REF!,"AAAAAF37YeA=")</f>
        <v>#REF!</v>
      </c>
      <c r="HR57" t="e">
        <f>AND(#REF!,"AAAAAF37YeE=")</f>
        <v>#REF!</v>
      </c>
      <c r="HS57" t="e">
        <f>AND(#REF!,"AAAAAF37YeI=")</f>
        <v>#REF!</v>
      </c>
      <c r="HT57" t="e">
        <f>AND(#REF!,"AAAAAF37YeM=")</f>
        <v>#REF!</v>
      </c>
      <c r="HU57" t="e">
        <f>AND(#REF!,"AAAAAF37YeQ=")</f>
        <v>#REF!</v>
      </c>
      <c r="HV57" t="e">
        <f>AND(#REF!,"AAAAAF37YeU=")</f>
        <v>#REF!</v>
      </c>
      <c r="HW57" t="e">
        <f>AND(#REF!,"AAAAAF37YeY=")</f>
        <v>#REF!</v>
      </c>
      <c r="HX57" t="e">
        <f>AND(#REF!,"AAAAAF37Yec=")</f>
        <v>#REF!</v>
      </c>
      <c r="HY57" t="e">
        <f>AND(#REF!,"AAAAAF37Yeg=")</f>
        <v>#REF!</v>
      </c>
      <c r="HZ57" t="e">
        <f>AND(#REF!,"AAAAAF37Yek=")</f>
        <v>#REF!</v>
      </c>
      <c r="IA57" t="e">
        <f>AND(#REF!,"AAAAAF37Yeo=")</f>
        <v>#REF!</v>
      </c>
      <c r="IB57" t="e">
        <f>AND(#REF!,"AAAAAF37Yes=")</f>
        <v>#REF!</v>
      </c>
      <c r="IC57" t="e">
        <f>AND(#REF!,"AAAAAF37Yew=")</f>
        <v>#REF!</v>
      </c>
      <c r="ID57" t="e">
        <f>AND(#REF!,"AAAAAF37Ye0=")</f>
        <v>#REF!</v>
      </c>
      <c r="IE57" t="e">
        <f>AND(#REF!,"AAAAAF37Ye4=")</f>
        <v>#REF!</v>
      </c>
      <c r="IF57" t="e">
        <f>AND(#REF!,"AAAAAF37Ye8=")</f>
        <v>#REF!</v>
      </c>
      <c r="IG57" t="e">
        <f>AND(#REF!,"AAAAAF37YfA=")</f>
        <v>#REF!</v>
      </c>
      <c r="IH57" t="e">
        <f>AND(#REF!,"AAAAAF37YfE=")</f>
        <v>#REF!</v>
      </c>
      <c r="II57" t="e">
        <f>AND(#REF!,"AAAAAF37YfI=")</f>
        <v>#REF!</v>
      </c>
      <c r="IJ57" t="e">
        <f>AND(#REF!,"AAAAAF37YfM=")</f>
        <v>#REF!</v>
      </c>
      <c r="IK57" t="e">
        <f>AND(#REF!,"AAAAAF37YfQ=")</f>
        <v>#REF!</v>
      </c>
      <c r="IL57" t="e">
        <f>AND(#REF!,"AAAAAF37YfU=")</f>
        <v>#REF!</v>
      </c>
      <c r="IM57" t="e">
        <f>AND(#REF!,"AAAAAF37YfY=")</f>
        <v>#REF!</v>
      </c>
      <c r="IN57" t="e">
        <f>IF(#REF!,"AAAAAF37Yfc=",0)</f>
        <v>#REF!</v>
      </c>
      <c r="IO57" t="e">
        <f>AND(#REF!,"AAAAAF37Yfg=")</f>
        <v>#REF!</v>
      </c>
      <c r="IP57" t="e">
        <f>AND(#REF!,"AAAAAF37Yfk=")</f>
        <v>#REF!</v>
      </c>
      <c r="IQ57" t="e">
        <f>AND(#REF!,"AAAAAF37Yfo=")</f>
        <v>#REF!</v>
      </c>
      <c r="IR57" t="e">
        <f>AND(#REF!,"AAAAAF37Yfs=")</f>
        <v>#REF!</v>
      </c>
      <c r="IS57" t="e">
        <f>AND(#REF!,"AAAAAF37Yfw=")</f>
        <v>#REF!</v>
      </c>
      <c r="IT57" t="e">
        <f>AND(#REF!,"AAAAAF37Yf0=")</f>
        <v>#REF!</v>
      </c>
      <c r="IU57" t="e">
        <f>AND(#REF!,"AAAAAF37Yf4=")</f>
        <v>#REF!</v>
      </c>
      <c r="IV57" t="e">
        <f>AND(#REF!,"AAAAAF37Yf8=")</f>
        <v>#REF!</v>
      </c>
    </row>
    <row r="58" spans="1:256">
      <c r="A58" t="e">
        <f>AND(#REF!,"AAAAABaPwwA=")</f>
        <v>#REF!</v>
      </c>
      <c r="B58" t="e">
        <f>AND(#REF!,"AAAAABaPwwE=")</f>
        <v>#REF!</v>
      </c>
      <c r="C58" t="e">
        <f>AND(#REF!,"AAAAABaPwwI=")</f>
        <v>#REF!</v>
      </c>
      <c r="D58" t="e">
        <f>AND(#REF!,"AAAAABaPwwM=")</f>
        <v>#REF!</v>
      </c>
      <c r="E58" t="e">
        <f>AND(#REF!,"AAAAABaPwwQ=")</f>
        <v>#REF!</v>
      </c>
      <c r="F58" t="e">
        <f>AND(#REF!,"AAAAABaPwwU=")</f>
        <v>#REF!</v>
      </c>
      <c r="G58" t="e">
        <f>AND(#REF!,"AAAAABaPwwY=")</f>
        <v>#REF!</v>
      </c>
      <c r="H58" t="e">
        <f>AND(#REF!,"AAAAABaPwwc=")</f>
        <v>#REF!</v>
      </c>
      <c r="I58" t="e">
        <f>AND(#REF!,"AAAAABaPwwg=")</f>
        <v>#REF!</v>
      </c>
      <c r="J58" t="e">
        <f>AND(#REF!,"AAAAABaPwwk=")</f>
        <v>#REF!</v>
      </c>
      <c r="K58" t="e">
        <f>AND(#REF!,"AAAAABaPwwo=")</f>
        <v>#REF!</v>
      </c>
      <c r="L58" t="e">
        <f>AND(#REF!,"AAAAABaPwws=")</f>
        <v>#REF!</v>
      </c>
      <c r="M58" t="e">
        <f>AND(#REF!,"AAAAABaPwww=")</f>
        <v>#REF!</v>
      </c>
      <c r="N58" t="e">
        <f>AND(#REF!,"AAAAABaPww0=")</f>
        <v>#REF!</v>
      </c>
      <c r="O58" t="e">
        <f>AND(#REF!,"AAAAABaPww4=")</f>
        <v>#REF!</v>
      </c>
      <c r="P58" t="e">
        <f>AND(#REF!,"AAAAABaPww8=")</f>
        <v>#REF!</v>
      </c>
      <c r="Q58" t="e">
        <f>AND(#REF!,"AAAAABaPwxA=")</f>
        <v>#REF!</v>
      </c>
      <c r="R58" t="e">
        <f>AND(#REF!,"AAAAABaPwxE=")</f>
        <v>#REF!</v>
      </c>
      <c r="S58" t="e">
        <f>AND(#REF!,"AAAAABaPwxI=")</f>
        <v>#REF!</v>
      </c>
      <c r="T58" t="e">
        <f>AND(#REF!,"AAAAABaPwxM=")</f>
        <v>#REF!</v>
      </c>
      <c r="U58" t="e">
        <f>AND(#REF!,"AAAAABaPwxQ=")</f>
        <v>#REF!</v>
      </c>
      <c r="V58" t="e">
        <f>AND(#REF!,"AAAAABaPwxU=")</f>
        <v>#REF!</v>
      </c>
      <c r="W58" t="e">
        <f>AND(#REF!,"AAAAABaPwxY=")</f>
        <v>#REF!</v>
      </c>
      <c r="X58" t="e">
        <f>AND(#REF!,"AAAAABaPwxc=")</f>
        <v>#REF!</v>
      </c>
      <c r="Y58" t="e">
        <f>AND(#REF!,"AAAAABaPwxg=")</f>
        <v>#REF!</v>
      </c>
      <c r="Z58" t="e">
        <f>AND(#REF!,"AAAAABaPwxk=")</f>
        <v>#REF!</v>
      </c>
      <c r="AA58" t="e">
        <f>AND(#REF!,"AAAAABaPwxo=")</f>
        <v>#REF!</v>
      </c>
      <c r="AB58" t="e">
        <f>AND(#REF!,"AAAAABaPwxs=")</f>
        <v>#REF!</v>
      </c>
      <c r="AC58" t="e">
        <f>AND(#REF!,"AAAAABaPwxw=")</f>
        <v>#REF!</v>
      </c>
      <c r="AD58" t="e">
        <f>AND(#REF!,"AAAAABaPwx0=")</f>
        <v>#REF!</v>
      </c>
      <c r="AE58" t="e">
        <f>AND(#REF!,"AAAAABaPwx4=")</f>
        <v>#REF!</v>
      </c>
      <c r="AF58" t="e">
        <f>AND(#REF!,"AAAAABaPwx8=")</f>
        <v>#REF!</v>
      </c>
      <c r="AG58" t="e">
        <f>AND(#REF!,"AAAAABaPwyA=")</f>
        <v>#REF!</v>
      </c>
      <c r="AH58" t="e">
        <f>IF(#REF!,"AAAAABaPwyE=",0)</f>
        <v>#REF!</v>
      </c>
      <c r="AI58" t="e">
        <f>AND(#REF!,"AAAAABaPwyI=")</f>
        <v>#REF!</v>
      </c>
      <c r="AJ58" t="e">
        <f>AND(#REF!,"AAAAABaPwyM=")</f>
        <v>#REF!</v>
      </c>
      <c r="AK58" t="e">
        <f>AND(#REF!,"AAAAABaPwyQ=")</f>
        <v>#REF!</v>
      </c>
      <c r="AL58" t="e">
        <f>AND(#REF!,"AAAAABaPwyU=")</f>
        <v>#REF!</v>
      </c>
      <c r="AM58" t="e">
        <f>AND(#REF!,"AAAAABaPwyY=")</f>
        <v>#REF!</v>
      </c>
      <c r="AN58" t="e">
        <f>AND(#REF!,"AAAAABaPwyc=")</f>
        <v>#REF!</v>
      </c>
      <c r="AO58" t="e">
        <f>AND(#REF!,"AAAAABaPwyg=")</f>
        <v>#REF!</v>
      </c>
      <c r="AP58" t="e">
        <f>AND(#REF!,"AAAAABaPwyk=")</f>
        <v>#REF!</v>
      </c>
      <c r="AQ58" t="e">
        <f>AND(#REF!,"AAAAABaPwyo=")</f>
        <v>#REF!</v>
      </c>
      <c r="AR58" t="e">
        <f>AND(#REF!,"AAAAABaPwys=")</f>
        <v>#REF!</v>
      </c>
      <c r="AS58" t="e">
        <f>AND(#REF!,"AAAAABaPwyw=")</f>
        <v>#REF!</v>
      </c>
      <c r="AT58" t="e">
        <f>AND(#REF!,"AAAAABaPwy0=")</f>
        <v>#REF!</v>
      </c>
      <c r="AU58" t="e">
        <f>AND(#REF!,"AAAAABaPwy4=")</f>
        <v>#REF!</v>
      </c>
      <c r="AV58" t="e">
        <f>AND(#REF!,"AAAAABaPwy8=")</f>
        <v>#REF!</v>
      </c>
      <c r="AW58" t="e">
        <f>AND(#REF!,"AAAAABaPwzA=")</f>
        <v>#REF!</v>
      </c>
      <c r="AX58" t="e">
        <f>AND(#REF!,"AAAAABaPwzE=")</f>
        <v>#REF!</v>
      </c>
      <c r="AY58" t="e">
        <f>AND(#REF!,"AAAAABaPwzI=")</f>
        <v>#REF!</v>
      </c>
      <c r="AZ58" t="e">
        <f>AND(#REF!,"AAAAABaPwzM=")</f>
        <v>#REF!</v>
      </c>
      <c r="BA58" t="e">
        <f>AND(#REF!,"AAAAABaPwzQ=")</f>
        <v>#REF!</v>
      </c>
      <c r="BB58" t="e">
        <f>AND(#REF!,"AAAAABaPwzU=")</f>
        <v>#REF!</v>
      </c>
      <c r="BC58" t="e">
        <f>AND(#REF!,"AAAAABaPwzY=")</f>
        <v>#REF!</v>
      </c>
      <c r="BD58" t="e">
        <f>AND(#REF!,"AAAAABaPwzc=")</f>
        <v>#REF!</v>
      </c>
      <c r="BE58" t="e">
        <f>AND(#REF!,"AAAAABaPwzg=")</f>
        <v>#REF!</v>
      </c>
      <c r="BF58" t="e">
        <f>AND(#REF!,"AAAAABaPwzk=")</f>
        <v>#REF!</v>
      </c>
      <c r="BG58" t="e">
        <f>AND(#REF!,"AAAAABaPwzo=")</f>
        <v>#REF!</v>
      </c>
      <c r="BH58" t="e">
        <f>AND(#REF!,"AAAAABaPwzs=")</f>
        <v>#REF!</v>
      </c>
      <c r="BI58" t="e">
        <f>AND(#REF!,"AAAAABaPwzw=")</f>
        <v>#REF!</v>
      </c>
      <c r="BJ58" t="e">
        <f>AND(#REF!,"AAAAABaPwz0=")</f>
        <v>#REF!</v>
      </c>
      <c r="BK58" t="e">
        <f>AND(#REF!,"AAAAABaPwz4=")</f>
        <v>#REF!</v>
      </c>
      <c r="BL58" t="e">
        <f>AND(#REF!,"AAAAABaPwz8=")</f>
        <v>#REF!</v>
      </c>
      <c r="BM58" t="e">
        <f>AND(#REF!,"AAAAABaPw0A=")</f>
        <v>#REF!</v>
      </c>
      <c r="BN58" t="e">
        <f>AND(#REF!,"AAAAABaPw0E=")</f>
        <v>#REF!</v>
      </c>
      <c r="BO58" t="e">
        <f>AND(#REF!,"AAAAABaPw0I=")</f>
        <v>#REF!</v>
      </c>
      <c r="BP58" t="e">
        <f>AND(#REF!,"AAAAABaPw0M=")</f>
        <v>#REF!</v>
      </c>
      <c r="BQ58" t="e">
        <f>AND(#REF!,"AAAAABaPw0Q=")</f>
        <v>#REF!</v>
      </c>
      <c r="BR58" t="e">
        <f>AND(#REF!,"AAAAABaPw0U=")</f>
        <v>#REF!</v>
      </c>
      <c r="BS58" t="e">
        <f>AND(#REF!,"AAAAABaPw0Y=")</f>
        <v>#REF!</v>
      </c>
      <c r="BT58" t="e">
        <f>AND(#REF!,"AAAAABaPw0c=")</f>
        <v>#REF!</v>
      </c>
      <c r="BU58" t="e">
        <f>AND(#REF!,"AAAAABaPw0g=")</f>
        <v>#REF!</v>
      </c>
      <c r="BV58" t="e">
        <f>AND(#REF!,"AAAAABaPw0k=")</f>
        <v>#REF!</v>
      </c>
      <c r="BW58" t="e">
        <f>AND(#REF!,"AAAAABaPw0o=")</f>
        <v>#REF!</v>
      </c>
      <c r="BX58" t="e">
        <f>IF(#REF!,"AAAAABaPw0s=",0)</f>
        <v>#REF!</v>
      </c>
      <c r="BY58" t="e">
        <f>AND(#REF!,"AAAAABaPw0w=")</f>
        <v>#REF!</v>
      </c>
      <c r="BZ58" t="e">
        <f>AND(#REF!,"AAAAABaPw00=")</f>
        <v>#REF!</v>
      </c>
      <c r="CA58" t="e">
        <f>AND(#REF!,"AAAAABaPw04=")</f>
        <v>#REF!</v>
      </c>
      <c r="CB58" t="e">
        <f>AND(#REF!,"AAAAABaPw08=")</f>
        <v>#REF!</v>
      </c>
      <c r="CC58" t="e">
        <f>AND(#REF!,"AAAAABaPw1A=")</f>
        <v>#REF!</v>
      </c>
      <c r="CD58" t="e">
        <f>AND(#REF!,"AAAAABaPw1E=")</f>
        <v>#REF!</v>
      </c>
      <c r="CE58" t="e">
        <f>AND(#REF!,"AAAAABaPw1I=")</f>
        <v>#REF!</v>
      </c>
      <c r="CF58" t="e">
        <f>AND(#REF!,"AAAAABaPw1M=")</f>
        <v>#REF!</v>
      </c>
      <c r="CG58" t="e">
        <f>AND(#REF!,"AAAAABaPw1Q=")</f>
        <v>#REF!</v>
      </c>
      <c r="CH58" t="e">
        <f>AND(#REF!,"AAAAABaPw1U=")</f>
        <v>#REF!</v>
      </c>
      <c r="CI58" t="e">
        <f>AND(#REF!,"AAAAABaPw1Y=")</f>
        <v>#REF!</v>
      </c>
      <c r="CJ58" t="e">
        <f>AND(#REF!,"AAAAABaPw1c=")</f>
        <v>#REF!</v>
      </c>
      <c r="CK58" t="e">
        <f>AND(#REF!,"AAAAABaPw1g=")</f>
        <v>#REF!</v>
      </c>
      <c r="CL58" t="e">
        <f>AND(#REF!,"AAAAABaPw1k=")</f>
        <v>#REF!</v>
      </c>
      <c r="CM58" t="e">
        <f>AND(#REF!,"AAAAABaPw1o=")</f>
        <v>#REF!</v>
      </c>
      <c r="CN58" t="e">
        <f>AND(#REF!,"AAAAABaPw1s=")</f>
        <v>#REF!</v>
      </c>
      <c r="CO58" t="e">
        <f>AND(#REF!,"AAAAABaPw1w=")</f>
        <v>#REF!</v>
      </c>
      <c r="CP58" t="e">
        <f>AND(#REF!,"AAAAABaPw10=")</f>
        <v>#REF!</v>
      </c>
      <c r="CQ58" t="e">
        <f>AND(#REF!,"AAAAABaPw14=")</f>
        <v>#REF!</v>
      </c>
      <c r="CR58" t="e">
        <f>AND(#REF!,"AAAAABaPw18=")</f>
        <v>#REF!</v>
      </c>
      <c r="CS58" t="e">
        <f>AND(#REF!,"AAAAABaPw2A=")</f>
        <v>#REF!</v>
      </c>
      <c r="CT58" t="e">
        <f>AND(#REF!,"AAAAABaPw2E=")</f>
        <v>#REF!</v>
      </c>
      <c r="CU58" t="e">
        <f>AND(#REF!,"AAAAABaPw2I=")</f>
        <v>#REF!</v>
      </c>
      <c r="CV58" t="e">
        <f>AND(#REF!,"AAAAABaPw2M=")</f>
        <v>#REF!</v>
      </c>
      <c r="CW58" t="e">
        <f>AND(#REF!,"AAAAABaPw2Q=")</f>
        <v>#REF!</v>
      </c>
      <c r="CX58" t="e">
        <f>AND(#REF!,"AAAAABaPw2U=")</f>
        <v>#REF!</v>
      </c>
      <c r="CY58" t="e">
        <f>AND(#REF!,"AAAAABaPw2Y=")</f>
        <v>#REF!</v>
      </c>
      <c r="CZ58" t="e">
        <f>AND(#REF!,"AAAAABaPw2c=")</f>
        <v>#REF!</v>
      </c>
      <c r="DA58" t="e">
        <f>AND(#REF!,"AAAAABaPw2g=")</f>
        <v>#REF!</v>
      </c>
      <c r="DB58" t="e">
        <f>AND(#REF!,"AAAAABaPw2k=")</f>
        <v>#REF!</v>
      </c>
      <c r="DC58" t="e">
        <f>AND(#REF!,"AAAAABaPw2o=")</f>
        <v>#REF!</v>
      </c>
      <c r="DD58" t="e">
        <f>AND(#REF!,"AAAAABaPw2s=")</f>
        <v>#REF!</v>
      </c>
      <c r="DE58" t="e">
        <f>AND(#REF!,"AAAAABaPw2w=")</f>
        <v>#REF!</v>
      </c>
      <c r="DF58" t="e">
        <f>AND(#REF!,"AAAAABaPw20=")</f>
        <v>#REF!</v>
      </c>
      <c r="DG58" t="e">
        <f>AND(#REF!,"AAAAABaPw24=")</f>
        <v>#REF!</v>
      </c>
      <c r="DH58" t="e">
        <f>AND(#REF!,"AAAAABaPw28=")</f>
        <v>#REF!</v>
      </c>
      <c r="DI58" t="e">
        <f>AND(#REF!,"AAAAABaPw3A=")</f>
        <v>#REF!</v>
      </c>
      <c r="DJ58" t="e">
        <f>AND(#REF!,"AAAAABaPw3E=")</f>
        <v>#REF!</v>
      </c>
      <c r="DK58" t="e">
        <f>AND(#REF!,"AAAAABaPw3I=")</f>
        <v>#REF!</v>
      </c>
      <c r="DL58" t="e">
        <f>AND(#REF!,"AAAAABaPw3M=")</f>
        <v>#REF!</v>
      </c>
      <c r="DM58" t="e">
        <f>AND(#REF!,"AAAAABaPw3Q=")</f>
        <v>#REF!</v>
      </c>
      <c r="DN58" t="e">
        <f>IF(#REF!,"AAAAABaPw3U=",0)</f>
        <v>#REF!</v>
      </c>
      <c r="DO58" t="e">
        <f>AND(#REF!,"AAAAABaPw3Y=")</f>
        <v>#REF!</v>
      </c>
      <c r="DP58" t="e">
        <f>AND(#REF!,"AAAAABaPw3c=")</f>
        <v>#REF!</v>
      </c>
      <c r="DQ58" t="e">
        <f>AND(#REF!,"AAAAABaPw3g=")</f>
        <v>#REF!</v>
      </c>
      <c r="DR58" t="e">
        <f>AND(#REF!,"AAAAABaPw3k=")</f>
        <v>#REF!</v>
      </c>
      <c r="DS58" t="e">
        <f>AND(#REF!,"AAAAABaPw3o=")</f>
        <v>#REF!</v>
      </c>
      <c r="DT58" t="e">
        <f>AND(#REF!,"AAAAABaPw3s=")</f>
        <v>#REF!</v>
      </c>
      <c r="DU58" t="e">
        <f>AND(#REF!,"AAAAABaPw3w=")</f>
        <v>#REF!</v>
      </c>
      <c r="DV58" t="e">
        <f>AND(#REF!,"AAAAABaPw30=")</f>
        <v>#REF!</v>
      </c>
      <c r="DW58" t="e">
        <f>AND(#REF!,"AAAAABaPw34=")</f>
        <v>#REF!</v>
      </c>
      <c r="DX58" t="e">
        <f>AND(#REF!,"AAAAABaPw38=")</f>
        <v>#REF!</v>
      </c>
      <c r="DY58" t="e">
        <f>AND(#REF!,"AAAAABaPw4A=")</f>
        <v>#REF!</v>
      </c>
      <c r="DZ58" t="e">
        <f>AND(#REF!,"AAAAABaPw4E=")</f>
        <v>#REF!</v>
      </c>
      <c r="EA58" t="e">
        <f>AND(#REF!,"AAAAABaPw4I=")</f>
        <v>#REF!</v>
      </c>
      <c r="EB58" t="e">
        <f>AND(#REF!,"AAAAABaPw4M=")</f>
        <v>#REF!</v>
      </c>
      <c r="EC58" t="e">
        <f>AND(#REF!,"AAAAABaPw4Q=")</f>
        <v>#REF!</v>
      </c>
      <c r="ED58" t="e">
        <f>AND(#REF!,"AAAAABaPw4U=")</f>
        <v>#REF!</v>
      </c>
      <c r="EE58" t="e">
        <f>AND(#REF!,"AAAAABaPw4Y=")</f>
        <v>#REF!</v>
      </c>
      <c r="EF58" t="e">
        <f>AND(#REF!,"AAAAABaPw4c=")</f>
        <v>#REF!</v>
      </c>
      <c r="EG58" t="e">
        <f>AND(#REF!,"AAAAABaPw4g=")</f>
        <v>#REF!</v>
      </c>
      <c r="EH58" t="e">
        <f>AND(#REF!,"AAAAABaPw4k=")</f>
        <v>#REF!</v>
      </c>
      <c r="EI58" t="e">
        <f>AND(#REF!,"AAAAABaPw4o=")</f>
        <v>#REF!</v>
      </c>
      <c r="EJ58" t="e">
        <f>AND(#REF!,"AAAAABaPw4s=")</f>
        <v>#REF!</v>
      </c>
      <c r="EK58" t="e">
        <f>AND(#REF!,"AAAAABaPw4w=")</f>
        <v>#REF!</v>
      </c>
      <c r="EL58" t="e">
        <f>AND(#REF!,"AAAAABaPw40=")</f>
        <v>#REF!</v>
      </c>
      <c r="EM58" t="e">
        <f>AND(#REF!,"AAAAABaPw44=")</f>
        <v>#REF!</v>
      </c>
      <c r="EN58" t="e">
        <f>AND(#REF!,"AAAAABaPw48=")</f>
        <v>#REF!</v>
      </c>
      <c r="EO58" t="e">
        <f>AND(#REF!,"AAAAABaPw5A=")</f>
        <v>#REF!</v>
      </c>
      <c r="EP58" t="e">
        <f>AND(#REF!,"AAAAABaPw5E=")</f>
        <v>#REF!</v>
      </c>
      <c r="EQ58" t="e">
        <f>AND(#REF!,"AAAAABaPw5I=")</f>
        <v>#REF!</v>
      </c>
      <c r="ER58" t="e">
        <f>AND(#REF!,"AAAAABaPw5M=")</f>
        <v>#REF!</v>
      </c>
      <c r="ES58" t="e">
        <f>AND(#REF!,"AAAAABaPw5Q=")</f>
        <v>#REF!</v>
      </c>
      <c r="ET58" t="e">
        <f>AND(#REF!,"AAAAABaPw5U=")</f>
        <v>#REF!</v>
      </c>
      <c r="EU58" t="e">
        <f>AND(#REF!,"AAAAABaPw5Y=")</f>
        <v>#REF!</v>
      </c>
      <c r="EV58" t="e">
        <f>AND(#REF!,"AAAAABaPw5c=")</f>
        <v>#REF!</v>
      </c>
      <c r="EW58" t="e">
        <f>AND(#REF!,"AAAAABaPw5g=")</f>
        <v>#REF!</v>
      </c>
      <c r="EX58" t="e">
        <f>AND(#REF!,"AAAAABaPw5k=")</f>
        <v>#REF!</v>
      </c>
      <c r="EY58" t="e">
        <f>AND(#REF!,"AAAAABaPw5o=")</f>
        <v>#REF!</v>
      </c>
      <c r="EZ58" t="e">
        <f>AND(#REF!,"AAAAABaPw5s=")</f>
        <v>#REF!</v>
      </c>
      <c r="FA58" t="e">
        <f>AND(#REF!,"AAAAABaPw5w=")</f>
        <v>#REF!</v>
      </c>
      <c r="FB58" t="e">
        <f>AND(#REF!,"AAAAABaPw50=")</f>
        <v>#REF!</v>
      </c>
      <c r="FC58" t="e">
        <f>AND(#REF!,"AAAAABaPw54=")</f>
        <v>#REF!</v>
      </c>
      <c r="FD58" t="e">
        <f>IF(#REF!,"AAAAABaPw58=",0)</f>
        <v>#REF!</v>
      </c>
      <c r="FE58" t="e">
        <f>AND(#REF!,"AAAAABaPw6A=")</f>
        <v>#REF!</v>
      </c>
      <c r="FF58" t="e">
        <f>AND(#REF!,"AAAAABaPw6E=")</f>
        <v>#REF!</v>
      </c>
      <c r="FG58" t="e">
        <f>AND(#REF!,"AAAAABaPw6I=")</f>
        <v>#REF!</v>
      </c>
      <c r="FH58" t="e">
        <f>AND(#REF!,"AAAAABaPw6M=")</f>
        <v>#REF!</v>
      </c>
      <c r="FI58" t="e">
        <f>AND(#REF!,"AAAAABaPw6Q=")</f>
        <v>#REF!</v>
      </c>
      <c r="FJ58" t="e">
        <f>AND(#REF!,"AAAAABaPw6U=")</f>
        <v>#REF!</v>
      </c>
      <c r="FK58" t="e">
        <f>AND(#REF!,"AAAAABaPw6Y=")</f>
        <v>#REF!</v>
      </c>
      <c r="FL58" t="e">
        <f>AND(#REF!,"AAAAABaPw6c=")</f>
        <v>#REF!</v>
      </c>
      <c r="FM58" t="e">
        <f>AND(#REF!,"AAAAABaPw6g=")</f>
        <v>#REF!</v>
      </c>
      <c r="FN58" t="e">
        <f>AND(#REF!,"AAAAABaPw6k=")</f>
        <v>#REF!</v>
      </c>
      <c r="FO58" t="e">
        <f>AND(#REF!,"AAAAABaPw6o=")</f>
        <v>#REF!</v>
      </c>
      <c r="FP58" t="e">
        <f>AND(#REF!,"AAAAABaPw6s=")</f>
        <v>#REF!</v>
      </c>
      <c r="FQ58" t="e">
        <f>AND(#REF!,"AAAAABaPw6w=")</f>
        <v>#REF!</v>
      </c>
      <c r="FR58" t="e">
        <f>AND(#REF!,"AAAAABaPw60=")</f>
        <v>#REF!</v>
      </c>
      <c r="FS58" t="e">
        <f>AND(#REF!,"AAAAABaPw64=")</f>
        <v>#REF!</v>
      </c>
      <c r="FT58" t="e">
        <f>AND(#REF!,"AAAAABaPw68=")</f>
        <v>#REF!</v>
      </c>
      <c r="FU58" t="e">
        <f>AND(#REF!,"AAAAABaPw7A=")</f>
        <v>#REF!</v>
      </c>
      <c r="FV58" t="e">
        <f>AND(#REF!,"AAAAABaPw7E=")</f>
        <v>#REF!</v>
      </c>
      <c r="FW58" t="e">
        <f>AND(#REF!,"AAAAABaPw7I=")</f>
        <v>#REF!</v>
      </c>
      <c r="FX58" t="e">
        <f>AND(#REF!,"AAAAABaPw7M=")</f>
        <v>#REF!</v>
      </c>
      <c r="FY58" t="e">
        <f>AND(#REF!,"AAAAABaPw7Q=")</f>
        <v>#REF!</v>
      </c>
      <c r="FZ58" t="e">
        <f>AND(#REF!,"AAAAABaPw7U=")</f>
        <v>#REF!</v>
      </c>
      <c r="GA58" t="e">
        <f>AND(#REF!,"AAAAABaPw7Y=")</f>
        <v>#REF!</v>
      </c>
      <c r="GB58" t="e">
        <f>AND(#REF!,"AAAAABaPw7c=")</f>
        <v>#REF!</v>
      </c>
      <c r="GC58" t="e">
        <f>AND(#REF!,"AAAAABaPw7g=")</f>
        <v>#REF!</v>
      </c>
      <c r="GD58" t="e">
        <f>AND(#REF!,"AAAAABaPw7k=")</f>
        <v>#REF!</v>
      </c>
      <c r="GE58" t="e">
        <f>AND(#REF!,"AAAAABaPw7o=")</f>
        <v>#REF!</v>
      </c>
      <c r="GF58" t="e">
        <f>AND(#REF!,"AAAAABaPw7s=")</f>
        <v>#REF!</v>
      </c>
      <c r="GG58" t="e">
        <f>AND(#REF!,"AAAAABaPw7w=")</f>
        <v>#REF!</v>
      </c>
      <c r="GH58" t="e">
        <f>AND(#REF!,"AAAAABaPw70=")</f>
        <v>#REF!</v>
      </c>
      <c r="GI58" t="e">
        <f>AND(#REF!,"AAAAABaPw74=")</f>
        <v>#REF!</v>
      </c>
      <c r="GJ58" t="e">
        <f>AND(#REF!,"AAAAABaPw78=")</f>
        <v>#REF!</v>
      </c>
      <c r="GK58" t="e">
        <f>AND(#REF!,"AAAAABaPw8A=")</f>
        <v>#REF!</v>
      </c>
      <c r="GL58" t="e">
        <f>AND(#REF!,"AAAAABaPw8E=")</f>
        <v>#REF!</v>
      </c>
      <c r="GM58" t="e">
        <f>AND(#REF!,"AAAAABaPw8I=")</f>
        <v>#REF!</v>
      </c>
      <c r="GN58" t="e">
        <f>AND(#REF!,"AAAAABaPw8M=")</f>
        <v>#REF!</v>
      </c>
      <c r="GO58" t="e">
        <f>AND(#REF!,"AAAAABaPw8Q=")</f>
        <v>#REF!</v>
      </c>
      <c r="GP58" t="e">
        <f>AND(#REF!,"AAAAABaPw8U=")</f>
        <v>#REF!</v>
      </c>
      <c r="GQ58" t="e">
        <f>AND(#REF!,"AAAAABaPw8Y=")</f>
        <v>#REF!</v>
      </c>
      <c r="GR58" t="e">
        <f>AND(#REF!,"AAAAABaPw8c=")</f>
        <v>#REF!</v>
      </c>
      <c r="GS58" t="e">
        <f>AND(#REF!,"AAAAABaPw8g=")</f>
        <v>#REF!</v>
      </c>
      <c r="GT58" t="e">
        <f>IF(#REF!,"AAAAABaPw8k=",0)</f>
        <v>#REF!</v>
      </c>
      <c r="GU58" t="e">
        <f>AND(#REF!,"AAAAABaPw8o=")</f>
        <v>#REF!</v>
      </c>
      <c r="GV58" t="e">
        <f>AND(#REF!,"AAAAABaPw8s=")</f>
        <v>#REF!</v>
      </c>
      <c r="GW58" t="e">
        <f>AND(#REF!,"AAAAABaPw8w=")</f>
        <v>#REF!</v>
      </c>
      <c r="GX58" t="e">
        <f>AND(#REF!,"AAAAABaPw80=")</f>
        <v>#REF!</v>
      </c>
      <c r="GY58" t="e">
        <f>AND(#REF!,"AAAAABaPw84=")</f>
        <v>#REF!</v>
      </c>
      <c r="GZ58" t="e">
        <f>AND(#REF!,"AAAAABaPw88=")</f>
        <v>#REF!</v>
      </c>
      <c r="HA58" t="e">
        <f>AND(#REF!,"AAAAABaPw9A=")</f>
        <v>#REF!</v>
      </c>
      <c r="HB58" t="e">
        <f>AND(#REF!,"AAAAABaPw9E=")</f>
        <v>#REF!</v>
      </c>
      <c r="HC58" t="e">
        <f>AND(#REF!,"AAAAABaPw9I=")</f>
        <v>#REF!</v>
      </c>
      <c r="HD58" t="e">
        <f>AND(#REF!,"AAAAABaPw9M=")</f>
        <v>#REF!</v>
      </c>
      <c r="HE58" t="e">
        <f>AND(#REF!,"AAAAABaPw9Q=")</f>
        <v>#REF!</v>
      </c>
      <c r="HF58" t="e">
        <f>AND(#REF!,"AAAAABaPw9U=")</f>
        <v>#REF!</v>
      </c>
      <c r="HG58" t="e">
        <f>AND(#REF!,"AAAAABaPw9Y=")</f>
        <v>#REF!</v>
      </c>
      <c r="HH58" t="e">
        <f>AND(#REF!,"AAAAABaPw9c=")</f>
        <v>#REF!</v>
      </c>
      <c r="HI58" t="e">
        <f>AND(#REF!,"AAAAABaPw9g=")</f>
        <v>#REF!</v>
      </c>
      <c r="HJ58" t="e">
        <f>AND(#REF!,"AAAAABaPw9k=")</f>
        <v>#REF!</v>
      </c>
      <c r="HK58" t="e">
        <f>AND(#REF!,"AAAAABaPw9o=")</f>
        <v>#REF!</v>
      </c>
      <c r="HL58" t="e">
        <f>AND(#REF!,"AAAAABaPw9s=")</f>
        <v>#REF!</v>
      </c>
      <c r="HM58" t="e">
        <f>AND(#REF!,"AAAAABaPw9w=")</f>
        <v>#REF!</v>
      </c>
      <c r="HN58" t="e">
        <f>AND(#REF!,"AAAAABaPw90=")</f>
        <v>#REF!</v>
      </c>
      <c r="HO58" t="e">
        <f>AND(#REF!,"AAAAABaPw94=")</f>
        <v>#REF!</v>
      </c>
      <c r="HP58" t="e">
        <f>AND(#REF!,"AAAAABaPw98=")</f>
        <v>#REF!</v>
      </c>
      <c r="HQ58" t="e">
        <f>AND(#REF!,"AAAAABaPw+A=")</f>
        <v>#REF!</v>
      </c>
      <c r="HR58" t="e">
        <f>AND(#REF!,"AAAAABaPw+E=")</f>
        <v>#REF!</v>
      </c>
      <c r="HS58" t="e">
        <f>AND(#REF!,"AAAAABaPw+I=")</f>
        <v>#REF!</v>
      </c>
      <c r="HT58" t="e">
        <f>AND(#REF!,"AAAAABaPw+M=")</f>
        <v>#REF!</v>
      </c>
      <c r="HU58" t="e">
        <f>AND(#REF!,"AAAAABaPw+Q=")</f>
        <v>#REF!</v>
      </c>
      <c r="HV58" t="e">
        <f>AND(#REF!,"AAAAABaPw+U=")</f>
        <v>#REF!</v>
      </c>
      <c r="HW58" t="e">
        <f>AND(#REF!,"AAAAABaPw+Y=")</f>
        <v>#REF!</v>
      </c>
      <c r="HX58" t="e">
        <f>AND(#REF!,"AAAAABaPw+c=")</f>
        <v>#REF!</v>
      </c>
      <c r="HY58" t="e">
        <f>AND(#REF!,"AAAAABaPw+g=")</f>
        <v>#REF!</v>
      </c>
      <c r="HZ58" t="e">
        <f>AND(#REF!,"AAAAABaPw+k=")</f>
        <v>#REF!</v>
      </c>
      <c r="IA58" t="e">
        <f>AND(#REF!,"AAAAABaPw+o=")</f>
        <v>#REF!</v>
      </c>
      <c r="IB58" t="e">
        <f>AND(#REF!,"AAAAABaPw+s=")</f>
        <v>#REF!</v>
      </c>
      <c r="IC58" t="e">
        <f>AND(#REF!,"AAAAABaPw+w=")</f>
        <v>#REF!</v>
      </c>
      <c r="ID58" t="e">
        <f>AND(#REF!,"AAAAABaPw+0=")</f>
        <v>#REF!</v>
      </c>
      <c r="IE58" t="e">
        <f>AND(#REF!,"AAAAABaPw+4=")</f>
        <v>#REF!</v>
      </c>
      <c r="IF58" t="e">
        <f>AND(#REF!,"AAAAABaPw+8=")</f>
        <v>#REF!</v>
      </c>
      <c r="IG58" t="e">
        <f>AND(#REF!,"AAAAABaPw/A=")</f>
        <v>#REF!</v>
      </c>
      <c r="IH58" t="e">
        <f>AND(#REF!,"AAAAABaPw/E=")</f>
        <v>#REF!</v>
      </c>
      <c r="II58" t="e">
        <f>AND(#REF!,"AAAAABaPw/I=")</f>
        <v>#REF!</v>
      </c>
      <c r="IJ58" t="e">
        <f>IF(#REF!,"AAAAABaPw/M=",0)</f>
        <v>#REF!</v>
      </c>
      <c r="IK58" t="e">
        <f>AND(#REF!,"AAAAABaPw/Q=")</f>
        <v>#REF!</v>
      </c>
      <c r="IL58" t="e">
        <f>AND(#REF!,"AAAAABaPw/U=")</f>
        <v>#REF!</v>
      </c>
      <c r="IM58" t="e">
        <f>AND(#REF!,"AAAAABaPw/Y=")</f>
        <v>#REF!</v>
      </c>
      <c r="IN58" t="e">
        <f>AND(#REF!,"AAAAABaPw/c=")</f>
        <v>#REF!</v>
      </c>
      <c r="IO58" t="e">
        <f>AND(#REF!,"AAAAABaPw/g=")</f>
        <v>#REF!</v>
      </c>
      <c r="IP58" t="e">
        <f>AND(#REF!,"AAAAABaPw/k=")</f>
        <v>#REF!</v>
      </c>
      <c r="IQ58" t="e">
        <f>AND(#REF!,"AAAAABaPw/o=")</f>
        <v>#REF!</v>
      </c>
      <c r="IR58" t="e">
        <f>AND(#REF!,"AAAAABaPw/s=")</f>
        <v>#REF!</v>
      </c>
      <c r="IS58" t="e">
        <f>AND(#REF!,"AAAAABaPw/w=")</f>
        <v>#REF!</v>
      </c>
      <c r="IT58" t="e">
        <f>AND(#REF!,"AAAAABaPw/0=")</f>
        <v>#REF!</v>
      </c>
      <c r="IU58" t="e">
        <f>AND(#REF!,"AAAAABaPw/4=")</f>
        <v>#REF!</v>
      </c>
      <c r="IV58" t="e">
        <f>AND(#REF!,"AAAAABaPw/8=")</f>
        <v>#REF!</v>
      </c>
    </row>
    <row r="59" spans="1:256">
      <c r="A59" t="e">
        <f>AND(#REF!,"AAAAAHbn/wA=")</f>
        <v>#REF!</v>
      </c>
      <c r="B59" t="e">
        <f>AND(#REF!,"AAAAAHbn/wE=")</f>
        <v>#REF!</v>
      </c>
      <c r="C59" t="e">
        <f>AND(#REF!,"AAAAAHbn/wI=")</f>
        <v>#REF!</v>
      </c>
      <c r="D59" t="e">
        <f>AND(#REF!,"AAAAAHbn/wM=")</f>
        <v>#REF!</v>
      </c>
      <c r="E59" t="e">
        <f>AND(#REF!,"AAAAAHbn/wQ=")</f>
        <v>#REF!</v>
      </c>
      <c r="F59" t="e">
        <f>AND(#REF!,"AAAAAHbn/wU=")</f>
        <v>#REF!</v>
      </c>
      <c r="G59" t="e">
        <f>AND(#REF!,"AAAAAHbn/wY=")</f>
        <v>#REF!</v>
      </c>
      <c r="H59" t="e">
        <f>AND(#REF!,"AAAAAHbn/wc=")</f>
        <v>#REF!</v>
      </c>
      <c r="I59" t="e">
        <f>AND(#REF!,"AAAAAHbn/wg=")</f>
        <v>#REF!</v>
      </c>
      <c r="J59" t="e">
        <f>AND(#REF!,"AAAAAHbn/wk=")</f>
        <v>#REF!</v>
      </c>
      <c r="K59" t="e">
        <f>AND(#REF!,"AAAAAHbn/wo=")</f>
        <v>#REF!</v>
      </c>
      <c r="L59" t="e">
        <f>AND(#REF!,"AAAAAHbn/ws=")</f>
        <v>#REF!</v>
      </c>
      <c r="M59" t="e">
        <f>AND(#REF!,"AAAAAHbn/ww=")</f>
        <v>#REF!</v>
      </c>
      <c r="N59" t="e">
        <f>AND(#REF!,"AAAAAHbn/w0=")</f>
        <v>#REF!</v>
      </c>
      <c r="O59" t="e">
        <f>AND(#REF!,"AAAAAHbn/w4=")</f>
        <v>#REF!</v>
      </c>
      <c r="P59" t="e">
        <f>AND(#REF!,"AAAAAHbn/w8=")</f>
        <v>#REF!</v>
      </c>
      <c r="Q59" t="e">
        <f>AND(#REF!,"AAAAAHbn/xA=")</f>
        <v>#REF!</v>
      </c>
      <c r="R59" t="e">
        <f>AND(#REF!,"AAAAAHbn/xE=")</f>
        <v>#REF!</v>
      </c>
      <c r="S59" t="e">
        <f>AND(#REF!,"AAAAAHbn/xI=")</f>
        <v>#REF!</v>
      </c>
      <c r="T59" t="e">
        <f>AND(#REF!,"AAAAAHbn/xM=")</f>
        <v>#REF!</v>
      </c>
      <c r="U59" t="e">
        <f>AND(#REF!,"AAAAAHbn/xQ=")</f>
        <v>#REF!</v>
      </c>
      <c r="V59" t="e">
        <f>AND(#REF!,"AAAAAHbn/xU=")</f>
        <v>#REF!</v>
      </c>
      <c r="W59" t="e">
        <f>AND(#REF!,"AAAAAHbn/xY=")</f>
        <v>#REF!</v>
      </c>
      <c r="X59" t="e">
        <f>AND(#REF!,"AAAAAHbn/xc=")</f>
        <v>#REF!</v>
      </c>
      <c r="Y59" t="e">
        <f>AND(#REF!,"AAAAAHbn/xg=")</f>
        <v>#REF!</v>
      </c>
      <c r="Z59" t="e">
        <f>AND(#REF!,"AAAAAHbn/xk=")</f>
        <v>#REF!</v>
      </c>
      <c r="AA59" t="e">
        <f>AND(#REF!,"AAAAAHbn/xo=")</f>
        <v>#REF!</v>
      </c>
      <c r="AB59" t="e">
        <f>AND(#REF!,"AAAAAHbn/xs=")</f>
        <v>#REF!</v>
      </c>
      <c r="AC59" t="e">
        <f>AND(#REF!,"AAAAAHbn/xw=")</f>
        <v>#REF!</v>
      </c>
      <c r="AD59" t="e">
        <f>IF(#REF!,"AAAAAHbn/x0=",0)</f>
        <v>#REF!</v>
      </c>
      <c r="AE59" t="e">
        <f>AND(#REF!,"AAAAAHbn/x4=")</f>
        <v>#REF!</v>
      </c>
      <c r="AF59" t="e">
        <f>AND(#REF!,"AAAAAHbn/x8=")</f>
        <v>#REF!</v>
      </c>
      <c r="AG59" t="e">
        <f>AND(#REF!,"AAAAAHbn/yA=")</f>
        <v>#REF!</v>
      </c>
      <c r="AH59" t="e">
        <f>AND(#REF!,"AAAAAHbn/yE=")</f>
        <v>#REF!</v>
      </c>
      <c r="AI59" t="e">
        <f>AND(#REF!,"AAAAAHbn/yI=")</f>
        <v>#REF!</v>
      </c>
      <c r="AJ59" t="e">
        <f>AND(#REF!,"AAAAAHbn/yM=")</f>
        <v>#REF!</v>
      </c>
      <c r="AK59" t="e">
        <f>AND(#REF!,"AAAAAHbn/yQ=")</f>
        <v>#REF!</v>
      </c>
      <c r="AL59" t="e">
        <f>AND(#REF!,"AAAAAHbn/yU=")</f>
        <v>#REF!</v>
      </c>
      <c r="AM59" t="e">
        <f>AND(#REF!,"AAAAAHbn/yY=")</f>
        <v>#REF!</v>
      </c>
      <c r="AN59" t="e">
        <f>AND(#REF!,"AAAAAHbn/yc=")</f>
        <v>#REF!</v>
      </c>
      <c r="AO59" t="e">
        <f>AND(#REF!,"AAAAAHbn/yg=")</f>
        <v>#REF!</v>
      </c>
      <c r="AP59" t="e">
        <f>AND(#REF!,"AAAAAHbn/yk=")</f>
        <v>#REF!</v>
      </c>
      <c r="AQ59" t="e">
        <f>AND(#REF!,"AAAAAHbn/yo=")</f>
        <v>#REF!</v>
      </c>
      <c r="AR59" t="e">
        <f>AND(#REF!,"AAAAAHbn/ys=")</f>
        <v>#REF!</v>
      </c>
      <c r="AS59" t="e">
        <f>AND(#REF!,"AAAAAHbn/yw=")</f>
        <v>#REF!</v>
      </c>
      <c r="AT59" t="e">
        <f>AND(#REF!,"AAAAAHbn/y0=")</f>
        <v>#REF!</v>
      </c>
      <c r="AU59" t="e">
        <f>AND(#REF!,"AAAAAHbn/y4=")</f>
        <v>#REF!</v>
      </c>
      <c r="AV59" t="e">
        <f>AND(#REF!,"AAAAAHbn/y8=")</f>
        <v>#REF!</v>
      </c>
      <c r="AW59" t="e">
        <f>AND(#REF!,"AAAAAHbn/zA=")</f>
        <v>#REF!</v>
      </c>
      <c r="AX59" t="e">
        <f>AND(#REF!,"AAAAAHbn/zE=")</f>
        <v>#REF!</v>
      </c>
      <c r="AY59" t="e">
        <f>AND(#REF!,"AAAAAHbn/zI=")</f>
        <v>#REF!</v>
      </c>
      <c r="AZ59" t="e">
        <f>AND(#REF!,"AAAAAHbn/zM=")</f>
        <v>#REF!</v>
      </c>
      <c r="BA59" t="e">
        <f>AND(#REF!,"AAAAAHbn/zQ=")</f>
        <v>#REF!</v>
      </c>
      <c r="BB59" t="e">
        <f>AND(#REF!,"AAAAAHbn/zU=")</f>
        <v>#REF!</v>
      </c>
      <c r="BC59" t="e">
        <f>AND(#REF!,"AAAAAHbn/zY=")</f>
        <v>#REF!</v>
      </c>
      <c r="BD59" t="e">
        <f>AND(#REF!,"AAAAAHbn/zc=")</f>
        <v>#REF!</v>
      </c>
      <c r="BE59" t="e">
        <f>AND(#REF!,"AAAAAHbn/zg=")</f>
        <v>#REF!</v>
      </c>
      <c r="BF59" t="e">
        <f>AND(#REF!,"AAAAAHbn/zk=")</f>
        <v>#REF!</v>
      </c>
      <c r="BG59" t="e">
        <f>AND(#REF!,"AAAAAHbn/zo=")</f>
        <v>#REF!</v>
      </c>
      <c r="BH59" t="e">
        <f>AND(#REF!,"AAAAAHbn/zs=")</f>
        <v>#REF!</v>
      </c>
      <c r="BI59" t="e">
        <f>AND(#REF!,"AAAAAHbn/zw=")</f>
        <v>#REF!</v>
      </c>
      <c r="BJ59" t="e">
        <f>AND(#REF!,"AAAAAHbn/z0=")</f>
        <v>#REF!</v>
      </c>
      <c r="BK59" t="e">
        <f>AND(#REF!,"AAAAAHbn/z4=")</f>
        <v>#REF!</v>
      </c>
      <c r="BL59" t="e">
        <f>AND(#REF!,"AAAAAHbn/z8=")</f>
        <v>#REF!</v>
      </c>
      <c r="BM59" t="e">
        <f>AND(#REF!,"AAAAAHbn/0A=")</f>
        <v>#REF!</v>
      </c>
      <c r="BN59" t="e">
        <f>AND(#REF!,"AAAAAHbn/0E=")</f>
        <v>#REF!</v>
      </c>
      <c r="BO59" t="e">
        <f>AND(#REF!,"AAAAAHbn/0I=")</f>
        <v>#REF!</v>
      </c>
      <c r="BP59" t="e">
        <f>AND(#REF!,"AAAAAHbn/0M=")</f>
        <v>#REF!</v>
      </c>
      <c r="BQ59" t="e">
        <f>AND(#REF!,"AAAAAHbn/0Q=")</f>
        <v>#REF!</v>
      </c>
      <c r="BR59" t="e">
        <f>AND(#REF!,"AAAAAHbn/0U=")</f>
        <v>#REF!</v>
      </c>
      <c r="BS59" t="e">
        <f>AND(#REF!,"AAAAAHbn/0Y=")</f>
        <v>#REF!</v>
      </c>
      <c r="BT59" t="e">
        <f>IF(#REF!,"AAAAAHbn/0c=",0)</f>
        <v>#REF!</v>
      </c>
      <c r="BU59" t="e">
        <f>AND(#REF!,"AAAAAHbn/0g=")</f>
        <v>#REF!</v>
      </c>
      <c r="BV59" t="e">
        <f>AND(#REF!,"AAAAAHbn/0k=")</f>
        <v>#REF!</v>
      </c>
      <c r="BW59" t="e">
        <f>AND(#REF!,"AAAAAHbn/0o=")</f>
        <v>#REF!</v>
      </c>
      <c r="BX59" t="e">
        <f>AND(#REF!,"AAAAAHbn/0s=")</f>
        <v>#REF!</v>
      </c>
      <c r="BY59" t="e">
        <f>AND(#REF!,"AAAAAHbn/0w=")</f>
        <v>#REF!</v>
      </c>
      <c r="BZ59" t="e">
        <f>AND(#REF!,"AAAAAHbn/00=")</f>
        <v>#REF!</v>
      </c>
      <c r="CA59" t="e">
        <f>AND(#REF!,"AAAAAHbn/04=")</f>
        <v>#REF!</v>
      </c>
      <c r="CB59" t="e">
        <f>AND(#REF!,"AAAAAHbn/08=")</f>
        <v>#REF!</v>
      </c>
      <c r="CC59" t="e">
        <f>AND(#REF!,"AAAAAHbn/1A=")</f>
        <v>#REF!</v>
      </c>
      <c r="CD59" t="e">
        <f>AND(#REF!,"AAAAAHbn/1E=")</f>
        <v>#REF!</v>
      </c>
      <c r="CE59" t="e">
        <f>AND(#REF!,"AAAAAHbn/1I=")</f>
        <v>#REF!</v>
      </c>
      <c r="CF59" t="e">
        <f>AND(#REF!,"AAAAAHbn/1M=")</f>
        <v>#REF!</v>
      </c>
      <c r="CG59" t="e">
        <f>AND(#REF!,"AAAAAHbn/1Q=")</f>
        <v>#REF!</v>
      </c>
      <c r="CH59" t="e">
        <f>AND(#REF!,"AAAAAHbn/1U=")</f>
        <v>#REF!</v>
      </c>
      <c r="CI59" t="e">
        <f>AND(#REF!,"AAAAAHbn/1Y=")</f>
        <v>#REF!</v>
      </c>
      <c r="CJ59" t="e">
        <f>AND(#REF!,"AAAAAHbn/1c=")</f>
        <v>#REF!</v>
      </c>
      <c r="CK59" t="e">
        <f>AND(#REF!,"AAAAAHbn/1g=")</f>
        <v>#REF!</v>
      </c>
      <c r="CL59" t="e">
        <f>AND(#REF!,"AAAAAHbn/1k=")</f>
        <v>#REF!</v>
      </c>
      <c r="CM59" t="e">
        <f>AND(#REF!,"AAAAAHbn/1o=")</f>
        <v>#REF!</v>
      </c>
      <c r="CN59" t="e">
        <f>AND(#REF!,"AAAAAHbn/1s=")</f>
        <v>#REF!</v>
      </c>
      <c r="CO59" t="e">
        <f>AND(#REF!,"AAAAAHbn/1w=")</f>
        <v>#REF!</v>
      </c>
      <c r="CP59" t="e">
        <f>AND(#REF!,"AAAAAHbn/10=")</f>
        <v>#REF!</v>
      </c>
      <c r="CQ59" t="e">
        <f>AND(#REF!,"AAAAAHbn/14=")</f>
        <v>#REF!</v>
      </c>
      <c r="CR59" t="e">
        <f>AND(#REF!,"AAAAAHbn/18=")</f>
        <v>#REF!</v>
      </c>
      <c r="CS59" t="e">
        <f>AND(#REF!,"AAAAAHbn/2A=")</f>
        <v>#REF!</v>
      </c>
      <c r="CT59" t="e">
        <f>AND(#REF!,"AAAAAHbn/2E=")</f>
        <v>#REF!</v>
      </c>
      <c r="CU59" t="e">
        <f>AND(#REF!,"AAAAAHbn/2I=")</f>
        <v>#REF!</v>
      </c>
      <c r="CV59" t="e">
        <f>AND(#REF!,"AAAAAHbn/2M=")</f>
        <v>#REF!</v>
      </c>
      <c r="CW59" t="e">
        <f>AND(#REF!,"AAAAAHbn/2Q=")</f>
        <v>#REF!</v>
      </c>
      <c r="CX59" t="e">
        <f>AND(#REF!,"AAAAAHbn/2U=")</f>
        <v>#REF!</v>
      </c>
      <c r="CY59" t="e">
        <f>AND(#REF!,"AAAAAHbn/2Y=")</f>
        <v>#REF!</v>
      </c>
      <c r="CZ59" t="e">
        <f>AND(#REF!,"AAAAAHbn/2c=")</f>
        <v>#REF!</v>
      </c>
      <c r="DA59" t="e">
        <f>AND(#REF!,"AAAAAHbn/2g=")</f>
        <v>#REF!</v>
      </c>
      <c r="DB59" t="e">
        <f>AND(#REF!,"AAAAAHbn/2k=")</f>
        <v>#REF!</v>
      </c>
      <c r="DC59" t="e">
        <f>AND(#REF!,"AAAAAHbn/2o=")</f>
        <v>#REF!</v>
      </c>
      <c r="DD59" t="e">
        <f>AND(#REF!,"AAAAAHbn/2s=")</f>
        <v>#REF!</v>
      </c>
      <c r="DE59" t="e">
        <f>AND(#REF!,"AAAAAHbn/2w=")</f>
        <v>#REF!</v>
      </c>
      <c r="DF59" t="e">
        <f>AND(#REF!,"AAAAAHbn/20=")</f>
        <v>#REF!</v>
      </c>
      <c r="DG59" t="e">
        <f>AND(#REF!,"AAAAAHbn/24=")</f>
        <v>#REF!</v>
      </c>
      <c r="DH59" t="e">
        <f>AND(#REF!,"AAAAAHbn/28=")</f>
        <v>#REF!</v>
      </c>
      <c r="DI59" t="e">
        <f>AND(#REF!,"AAAAAHbn/3A=")</f>
        <v>#REF!</v>
      </c>
      <c r="DJ59" t="e">
        <f>IF(#REF!,"AAAAAHbn/3E=",0)</f>
        <v>#REF!</v>
      </c>
      <c r="DK59" t="e">
        <f>AND(#REF!,"AAAAAHbn/3I=")</f>
        <v>#REF!</v>
      </c>
      <c r="DL59" t="e">
        <f>AND(#REF!,"AAAAAHbn/3M=")</f>
        <v>#REF!</v>
      </c>
      <c r="DM59" t="e">
        <f>AND(#REF!,"AAAAAHbn/3Q=")</f>
        <v>#REF!</v>
      </c>
      <c r="DN59" t="e">
        <f>AND(#REF!,"AAAAAHbn/3U=")</f>
        <v>#REF!</v>
      </c>
      <c r="DO59" t="e">
        <f>AND(#REF!,"AAAAAHbn/3Y=")</f>
        <v>#REF!</v>
      </c>
      <c r="DP59" t="e">
        <f>AND(#REF!,"AAAAAHbn/3c=")</f>
        <v>#REF!</v>
      </c>
      <c r="DQ59" t="e">
        <f>AND(#REF!,"AAAAAHbn/3g=")</f>
        <v>#REF!</v>
      </c>
      <c r="DR59" t="e">
        <f>AND(#REF!,"AAAAAHbn/3k=")</f>
        <v>#REF!</v>
      </c>
      <c r="DS59" t="e">
        <f>AND(#REF!,"AAAAAHbn/3o=")</f>
        <v>#REF!</v>
      </c>
      <c r="DT59" t="e">
        <f>AND(#REF!,"AAAAAHbn/3s=")</f>
        <v>#REF!</v>
      </c>
      <c r="DU59" t="e">
        <f>AND(#REF!,"AAAAAHbn/3w=")</f>
        <v>#REF!</v>
      </c>
      <c r="DV59" t="e">
        <f>AND(#REF!,"AAAAAHbn/30=")</f>
        <v>#REF!</v>
      </c>
      <c r="DW59" t="e">
        <f>AND(#REF!,"AAAAAHbn/34=")</f>
        <v>#REF!</v>
      </c>
      <c r="DX59" t="e">
        <f>AND(#REF!,"AAAAAHbn/38=")</f>
        <v>#REF!</v>
      </c>
      <c r="DY59" t="e">
        <f>AND(#REF!,"AAAAAHbn/4A=")</f>
        <v>#REF!</v>
      </c>
      <c r="DZ59" t="e">
        <f>AND(#REF!,"AAAAAHbn/4E=")</f>
        <v>#REF!</v>
      </c>
      <c r="EA59" t="e">
        <f>AND(#REF!,"AAAAAHbn/4I=")</f>
        <v>#REF!</v>
      </c>
      <c r="EB59" t="e">
        <f>AND(#REF!,"AAAAAHbn/4M=")</f>
        <v>#REF!</v>
      </c>
      <c r="EC59" t="e">
        <f>AND(#REF!,"AAAAAHbn/4Q=")</f>
        <v>#REF!</v>
      </c>
      <c r="ED59" t="e">
        <f>AND(#REF!,"AAAAAHbn/4U=")</f>
        <v>#REF!</v>
      </c>
      <c r="EE59" t="e">
        <f>AND(#REF!,"AAAAAHbn/4Y=")</f>
        <v>#REF!</v>
      </c>
      <c r="EF59" t="e">
        <f>AND(#REF!,"AAAAAHbn/4c=")</f>
        <v>#REF!</v>
      </c>
      <c r="EG59" t="e">
        <f>AND(#REF!,"AAAAAHbn/4g=")</f>
        <v>#REF!</v>
      </c>
      <c r="EH59" t="e">
        <f>AND(#REF!,"AAAAAHbn/4k=")</f>
        <v>#REF!</v>
      </c>
      <c r="EI59" t="e">
        <f>AND(#REF!,"AAAAAHbn/4o=")</f>
        <v>#REF!</v>
      </c>
      <c r="EJ59" t="e">
        <f>AND(#REF!,"AAAAAHbn/4s=")</f>
        <v>#REF!</v>
      </c>
      <c r="EK59" t="e">
        <f>AND(#REF!,"AAAAAHbn/4w=")</f>
        <v>#REF!</v>
      </c>
      <c r="EL59" t="e">
        <f>AND(#REF!,"AAAAAHbn/40=")</f>
        <v>#REF!</v>
      </c>
      <c r="EM59" t="e">
        <f>AND(#REF!,"AAAAAHbn/44=")</f>
        <v>#REF!</v>
      </c>
      <c r="EN59" t="e">
        <f>AND(#REF!,"AAAAAHbn/48=")</f>
        <v>#REF!</v>
      </c>
      <c r="EO59" t="e">
        <f>AND(#REF!,"AAAAAHbn/5A=")</f>
        <v>#REF!</v>
      </c>
      <c r="EP59" t="e">
        <f>AND(#REF!,"AAAAAHbn/5E=")</f>
        <v>#REF!</v>
      </c>
      <c r="EQ59" t="e">
        <f>AND(#REF!,"AAAAAHbn/5I=")</f>
        <v>#REF!</v>
      </c>
      <c r="ER59" t="e">
        <f>AND(#REF!,"AAAAAHbn/5M=")</f>
        <v>#REF!</v>
      </c>
      <c r="ES59" t="e">
        <f>AND(#REF!,"AAAAAHbn/5Q=")</f>
        <v>#REF!</v>
      </c>
      <c r="ET59" t="e">
        <f>AND(#REF!,"AAAAAHbn/5U=")</f>
        <v>#REF!</v>
      </c>
      <c r="EU59" t="e">
        <f>AND(#REF!,"AAAAAHbn/5Y=")</f>
        <v>#REF!</v>
      </c>
      <c r="EV59" t="e">
        <f>AND(#REF!,"AAAAAHbn/5c=")</f>
        <v>#REF!</v>
      </c>
      <c r="EW59" t="e">
        <f>AND(#REF!,"AAAAAHbn/5g=")</f>
        <v>#REF!</v>
      </c>
      <c r="EX59" t="e">
        <f>AND(#REF!,"AAAAAHbn/5k=")</f>
        <v>#REF!</v>
      </c>
      <c r="EY59" t="e">
        <f>AND(#REF!,"AAAAAHbn/5o=")</f>
        <v>#REF!</v>
      </c>
      <c r="EZ59" t="e">
        <f>IF(#REF!,"AAAAAHbn/5s=",0)</f>
        <v>#REF!</v>
      </c>
      <c r="FA59" t="e">
        <f>AND(#REF!,"AAAAAHbn/5w=")</f>
        <v>#REF!</v>
      </c>
      <c r="FB59" t="e">
        <f>AND(#REF!,"AAAAAHbn/50=")</f>
        <v>#REF!</v>
      </c>
      <c r="FC59" t="e">
        <f>AND(#REF!,"AAAAAHbn/54=")</f>
        <v>#REF!</v>
      </c>
      <c r="FD59" t="e">
        <f>AND(#REF!,"AAAAAHbn/58=")</f>
        <v>#REF!</v>
      </c>
      <c r="FE59" t="e">
        <f>AND(#REF!,"AAAAAHbn/6A=")</f>
        <v>#REF!</v>
      </c>
      <c r="FF59" t="e">
        <f>AND(#REF!,"AAAAAHbn/6E=")</f>
        <v>#REF!</v>
      </c>
      <c r="FG59" t="e">
        <f>AND(#REF!,"AAAAAHbn/6I=")</f>
        <v>#REF!</v>
      </c>
      <c r="FH59" t="e">
        <f>AND(#REF!,"AAAAAHbn/6M=")</f>
        <v>#REF!</v>
      </c>
      <c r="FI59" t="e">
        <f>AND(#REF!,"AAAAAHbn/6Q=")</f>
        <v>#REF!</v>
      </c>
      <c r="FJ59" t="e">
        <f>AND(#REF!,"AAAAAHbn/6U=")</f>
        <v>#REF!</v>
      </c>
      <c r="FK59" t="e">
        <f>AND(#REF!,"AAAAAHbn/6Y=")</f>
        <v>#REF!</v>
      </c>
      <c r="FL59" t="e">
        <f>AND(#REF!,"AAAAAHbn/6c=")</f>
        <v>#REF!</v>
      </c>
      <c r="FM59" t="e">
        <f>AND(#REF!,"AAAAAHbn/6g=")</f>
        <v>#REF!</v>
      </c>
      <c r="FN59" t="e">
        <f>AND(#REF!,"AAAAAHbn/6k=")</f>
        <v>#REF!</v>
      </c>
      <c r="FO59" t="e">
        <f>AND(#REF!,"AAAAAHbn/6o=")</f>
        <v>#REF!</v>
      </c>
      <c r="FP59" t="e">
        <f>AND(#REF!,"AAAAAHbn/6s=")</f>
        <v>#REF!</v>
      </c>
      <c r="FQ59" t="e">
        <f>AND(#REF!,"AAAAAHbn/6w=")</f>
        <v>#REF!</v>
      </c>
      <c r="FR59" t="e">
        <f>AND(#REF!,"AAAAAHbn/60=")</f>
        <v>#REF!</v>
      </c>
      <c r="FS59" t="e">
        <f>AND(#REF!,"AAAAAHbn/64=")</f>
        <v>#REF!</v>
      </c>
      <c r="FT59" t="e">
        <f>AND(#REF!,"AAAAAHbn/68=")</f>
        <v>#REF!</v>
      </c>
      <c r="FU59" t="e">
        <f>AND(#REF!,"AAAAAHbn/7A=")</f>
        <v>#REF!</v>
      </c>
      <c r="FV59" t="e">
        <f>AND(#REF!,"AAAAAHbn/7E=")</f>
        <v>#REF!</v>
      </c>
      <c r="FW59" t="e">
        <f>AND(#REF!,"AAAAAHbn/7I=")</f>
        <v>#REF!</v>
      </c>
      <c r="FX59" t="e">
        <f>AND(#REF!,"AAAAAHbn/7M=")</f>
        <v>#REF!</v>
      </c>
      <c r="FY59" t="e">
        <f>AND(#REF!,"AAAAAHbn/7Q=")</f>
        <v>#REF!</v>
      </c>
      <c r="FZ59" t="e">
        <f>AND(#REF!,"AAAAAHbn/7U=")</f>
        <v>#REF!</v>
      </c>
      <c r="GA59" t="e">
        <f>AND(#REF!,"AAAAAHbn/7Y=")</f>
        <v>#REF!</v>
      </c>
      <c r="GB59" t="e">
        <f>AND(#REF!,"AAAAAHbn/7c=")</f>
        <v>#REF!</v>
      </c>
      <c r="GC59" t="e">
        <f>AND(#REF!,"AAAAAHbn/7g=")</f>
        <v>#REF!</v>
      </c>
      <c r="GD59" t="e">
        <f>AND(#REF!,"AAAAAHbn/7k=")</f>
        <v>#REF!</v>
      </c>
      <c r="GE59" t="e">
        <f>AND(#REF!,"AAAAAHbn/7o=")</f>
        <v>#REF!</v>
      </c>
      <c r="GF59" t="e">
        <f>AND(#REF!,"AAAAAHbn/7s=")</f>
        <v>#REF!</v>
      </c>
      <c r="GG59" t="e">
        <f>AND(#REF!,"AAAAAHbn/7w=")</f>
        <v>#REF!</v>
      </c>
      <c r="GH59" t="e">
        <f>AND(#REF!,"AAAAAHbn/70=")</f>
        <v>#REF!</v>
      </c>
      <c r="GI59" t="e">
        <f>AND(#REF!,"AAAAAHbn/74=")</f>
        <v>#REF!</v>
      </c>
      <c r="GJ59" t="e">
        <f>AND(#REF!,"AAAAAHbn/78=")</f>
        <v>#REF!</v>
      </c>
      <c r="GK59" t="e">
        <f>AND(#REF!,"AAAAAHbn/8A=")</f>
        <v>#REF!</v>
      </c>
      <c r="GL59" t="e">
        <f>AND(#REF!,"AAAAAHbn/8E=")</f>
        <v>#REF!</v>
      </c>
      <c r="GM59" t="e">
        <f>AND(#REF!,"AAAAAHbn/8I=")</f>
        <v>#REF!</v>
      </c>
      <c r="GN59" t="e">
        <f>AND(#REF!,"AAAAAHbn/8M=")</f>
        <v>#REF!</v>
      </c>
      <c r="GO59" t="e">
        <f>AND(#REF!,"AAAAAHbn/8Q=")</f>
        <v>#REF!</v>
      </c>
      <c r="GP59" t="e">
        <f>IF(#REF!,"AAAAAHbn/8U=",0)</f>
        <v>#REF!</v>
      </c>
      <c r="GQ59" t="e">
        <f>AND(#REF!,"AAAAAHbn/8Y=")</f>
        <v>#REF!</v>
      </c>
      <c r="GR59" t="e">
        <f>AND(#REF!,"AAAAAHbn/8c=")</f>
        <v>#REF!</v>
      </c>
      <c r="GS59" t="e">
        <f>AND(#REF!,"AAAAAHbn/8g=")</f>
        <v>#REF!</v>
      </c>
      <c r="GT59" t="e">
        <f>AND(#REF!,"AAAAAHbn/8k=")</f>
        <v>#REF!</v>
      </c>
      <c r="GU59" t="e">
        <f>AND(#REF!,"AAAAAHbn/8o=")</f>
        <v>#REF!</v>
      </c>
      <c r="GV59" t="e">
        <f>AND(#REF!,"AAAAAHbn/8s=")</f>
        <v>#REF!</v>
      </c>
      <c r="GW59" t="e">
        <f>AND(#REF!,"AAAAAHbn/8w=")</f>
        <v>#REF!</v>
      </c>
      <c r="GX59" t="e">
        <f>AND(#REF!,"AAAAAHbn/80=")</f>
        <v>#REF!</v>
      </c>
      <c r="GY59" t="e">
        <f>AND(#REF!,"AAAAAHbn/84=")</f>
        <v>#REF!</v>
      </c>
      <c r="GZ59" t="e">
        <f>AND(#REF!,"AAAAAHbn/88=")</f>
        <v>#REF!</v>
      </c>
      <c r="HA59" t="e">
        <f>AND(#REF!,"AAAAAHbn/9A=")</f>
        <v>#REF!</v>
      </c>
      <c r="HB59" t="e">
        <f>AND(#REF!,"AAAAAHbn/9E=")</f>
        <v>#REF!</v>
      </c>
      <c r="HC59" t="e">
        <f>AND(#REF!,"AAAAAHbn/9I=")</f>
        <v>#REF!</v>
      </c>
      <c r="HD59" t="e">
        <f>AND(#REF!,"AAAAAHbn/9M=")</f>
        <v>#REF!</v>
      </c>
      <c r="HE59" t="e">
        <f>AND(#REF!,"AAAAAHbn/9Q=")</f>
        <v>#REF!</v>
      </c>
      <c r="HF59" t="e">
        <f>AND(#REF!,"AAAAAHbn/9U=")</f>
        <v>#REF!</v>
      </c>
      <c r="HG59" t="e">
        <f>AND(#REF!,"AAAAAHbn/9Y=")</f>
        <v>#REF!</v>
      </c>
      <c r="HH59" t="e">
        <f>AND(#REF!,"AAAAAHbn/9c=")</f>
        <v>#REF!</v>
      </c>
      <c r="HI59" t="e">
        <f>AND(#REF!,"AAAAAHbn/9g=")</f>
        <v>#REF!</v>
      </c>
      <c r="HJ59" t="e">
        <f>AND(#REF!,"AAAAAHbn/9k=")</f>
        <v>#REF!</v>
      </c>
      <c r="HK59" t="e">
        <f>AND(#REF!,"AAAAAHbn/9o=")</f>
        <v>#REF!</v>
      </c>
      <c r="HL59" t="e">
        <f>AND(#REF!,"AAAAAHbn/9s=")</f>
        <v>#REF!</v>
      </c>
      <c r="HM59" t="e">
        <f>AND(#REF!,"AAAAAHbn/9w=")</f>
        <v>#REF!</v>
      </c>
      <c r="HN59" t="e">
        <f>AND(#REF!,"AAAAAHbn/90=")</f>
        <v>#REF!</v>
      </c>
      <c r="HO59" t="e">
        <f>AND(#REF!,"AAAAAHbn/94=")</f>
        <v>#REF!</v>
      </c>
      <c r="HP59" t="e">
        <f>AND(#REF!,"AAAAAHbn/98=")</f>
        <v>#REF!</v>
      </c>
      <c r="HQ59" t="e">
        <f>AND(#REF!,"AAAAAHbn/+A=")</f>
        <v>#REF!</v>
      </c>
      <c r="HR59" t="e">
        <f>AND(#REF!,"AAAAAHbn/+E=")</f>
        <v>#REF!</v>
      </c>
      <c r="HS59" t="e">
        <f>AND(#REF!,"AAAAAHbn/+I=")</f>
        <v>#REF!</v>
      </c>
      <c r="HT59" t="e">
        <f>AND(#REF!,"AAAAAHbn/+M=")</f>
        <v>#REF!</v>
      </c>
      <c r="HU59" t="e">
        <f>AND(#REF!,"AAAAAHbn/+Q=")</f>
        <v>#REF!</v>
      </c>
      <c r="HV59" t="e">
        <f>AND(#REF!,"AAAAAHbn/+U=")</f>
        <v>#REF!</v>
      </c>
      <c r="HW59" t="e">
        <f>AND(#REF!,"AAAAAHbn/+Y=")</f>
        <v>#REF!</v>
      </c>
      <c r="HX59" t="e">
        <f>AND(#REF!,"AAAAAHbn/+c=")</f>
        <v>#REF!</v>
      </c>
      <c r="HY59" t="e">
        <f>AND(#REF!,"AAAAAHbn/+g=")</f>
        <v>#REF!</v>
      </c>
      <c r="HZ59" t="e">
        <f>AND(#REF!,"AAAAAHbn/+k=")</f>
        <v>#REF!</v>
      </c>
      <c r="IA59" t="e">
        <f>AND(#REF!,"AAAAAHbn/+o=")</f>
        <v>#REF!</v>
      </c>
      <c r="IB59" t="e">
        <f>AND(#REF!,"AAAAAHbn/+s=")</f>
        <v>#REF!</v>
      </c>
      <c r="IC59" t="e">
        <f>AND(#REF!,"AAAAAHbn/+w=")</f>
        <v>#REF!</v>
      </c>
      <c r="ID59" t="e">
        <f>AND(#REF!,"AAAAAHbn/+0=")</f>
        <v>#REF!</v>
      </c>
      <c r="IE59" t="e">
        <f>AND(#REF!,"AAAAAHbn/+4=")</f>
        <v>#REF!</v>
      </c>
      <c r="IF59" t="e">
        <f>IF(#REF!,"AAAAAHbn/+8=",0)</f>
        <v>#REF!</v>
      </c>
      <c r="IG59" t="e">
        <f>AND(#REF!,"AAAAAHbn//A=")</f>
        <v>#REF!</v>
      </c>
      <c r="IH59" t="e">
        <f>AND(#REF!,"AAAAAHbn//E=")</f>
        <v>#REF!</v>
      </c>
      <c r="II59" t="e">
        <f>AND(#REF!,"AAAAAHbn//I=")</f>
        <v>#REF!</v>
      </c>
      <c r="IJ59" t="e">
        <f>AND(#REF!,"AAAAAHbn//M=")</f>
        <v>#REF!</v>
      </c>
      <c r="IK59" t="e">
        <f>AND(#REF!,"AAAAAHbn//Q=")</f>
        <v>#REF!</v>
      </c>
      <c r="IL59" t="e">
        <f>AND(#REF!,"AAAAAHbn//U=")</f>
        <v>#REF!</v>
      </c>
      <c r="IM59" t="e">
        <f>AND(#REF!,"AAAAAHbn//Y=")</f>
        <v>#REF!</v>
      </c>
      <c r="IN59" t="e">
        <f>AND(#REF!,"AAAAAHbn//c=")</f>
        <v>#REF!</v>
      </c>
      <c r="IO59" t="e">
        <f>AND(#REF!,"AAAAAHbn//g=")</f>
        <v>#REF!</v>
      </c>
      <c r="IP59" t="e">
        <f>AND(#REF!,"AAAAAHbn//k=")</f>
        <v>#REF!</v>
      </c>
      <c r="IQ59" t="e">
        <f>AND(#REF!,"AAAAAHbn//o=")</f>
        <v>#REF!</v>
      </c>
      <c r="IR59" t="e">
        <f>AND(#REF!,"AAAAAHbn//s=")</f>
        <v>#REF!</v>
      </c>
      <c r="IS59" t="e">
        <f>AND(#REF!,"AAAAAHbn//w=")</f>
        <v>#REF!</v>
      </c>
      <c r="IT59" t="e">
        <f>AND(#REF!,"AAAAAHbn//0=")</f>
        <v>#REF!</v>
      </c>
      <c r="IU59" t="e">
        <f>AND(#REF!,"AAAAAHbn//4=")</f>
        <v>#REF!</v>
      </c>
      <c r="IV59" t="e">
        <f>AND(#REF!,"AAAAAHbn//8=")</f>
        <v>#REF!</v>
      </c>
    </row>
    <row r="60" spans="1:256">
      <c r="A60" t="e">
        <f>AND(#REF!,"AAAAAD87PwA=")</f>
        <v>#REF!</v>
      </c>
      <c r="B60" t="e">
        <f>AND(#REF!,"AAAAAD87PwE=")</f>
        <v>#REF!</v>
      </c>
      <c r="C60" t="e">
        <f>AND(#REF!,"AAAAAD87PwI=")</f>
        <v>#REF!</v>
      </c>
      <c r="D60" t="e">
        <f>AND(#REF!,"AAAAAD87PwM=")</f>
        <v>#REF!</v>
      </c>
      <c r="E60" t="e">
        <f>AND(#REF!,"AAAAAD87PwQ=")</f>
        <v>#REF!</v>
      </c>
      <c r="F60" t="e">
        <f>AND(#REF!,"AAAAAD87PwU=")</f>
        <v>#REF!</v>
      </c>
      <c r="G60" t="e">
        <f>AND(#REF!,"AAAAAD87PwY=")</f>
        <v>#REF!</v>
      </c>
      <c r="H60" t="e">
        <f>AND(#REF!,"AAAAAD87Pwc=")</f>
        <v>#REF!</v>
      </c>
      <c r="I60" t="e">
        <f>AND(#REF!,"AAAAAD87Pwg=")</f>
        <v>#REF!</v>
      </c>
      <c r="J60" t="e">
        <f>AND(#REF!,"AAAAAD87Pwk=")</f>
        <v>#REF!</v>
      </c>
      <c r="K60" t="e">
        <f>AND(#REF!,"AAAAAD87Pwo=")</f>
        <v>#REF!</v>
      </c>
      <c r="L60" t="e">
        <f>AND(#REF!,"AAAAAD87Pws=")</f>
        <v>#REF!</v>
      </c>
      <c r="M60" t="e">
        <f>AND(#REF!,"AAAAAD87Pww=")</f>
        <v>#REF!</v>
      </c>
      <c r="N60" t="e">
        <f>AND(#REF!,"AAAAAD87Pw0=")</f>
        <v>#REF!</v>
      </c>
      <c r="O60" t="e">
        <f>AND(#REF!,"AAAAAD87Pw4=")</f>
        <v>#REF!</v>
      </c>
      <c r="P60" t="e">
        <f>AND(#REF!,"AAAAAD87Pw8=")</f>
        <v>#REF!</v>
      </c>
      <c r="Q60" t="e">
        <f>AND(#REF!,"AAAAAD87PxA=")</f>
        <v>#REF!</v>
      </c>
      <c r="R60" t="e">
        <f>AND(#REF!,"AAAAAD87PxE=")</f>
        <v>#REF!</v>
      </c>
      <c r="S60" t="e">
        <f>AND(#REF!,"AAAAAD87PxI=")</f>
        <v>#REF!</v>
      </c>
      <c r="T60" t="e">
        <f>AND(#REF!,"AAAAAD87PxM=")</f>
        <v>#REF!</v>
      </c>
      <c r="U60" t="e">
        <f>AND(#REF!,"AAAAAD87PxQ=")</f>
        <v>#REF!</v>
      </c>
      <c r="V60" t="e">
        <f>AND(#REF!,"AAAAAD87PxU=")</f>
        <v>#REF!</v>
      </c>
      <c r="W60" t="e">
        <f>AND(#REF!,"AAAAAD87PxY=")</f>
        <v>#REF!</v>
      </c>
      <c r="X60" t="e">
        <f>AND(#REF!,"AAAAAD87Pxc=")</f>
        <v>#REF!</v>
      </c>
      <c r="Y60" t="e">
        <f>AND(#REF!,"AAAAAD87Pxg=")</f>
        <v>#REF!</v>
      </c>
      <c r="Z60" t="e">
        <f>IF(#REF!,"AAAAAD87Pxk=",0)</f>
        <v>#REF!</v>
      </c>
      <c r="AA60" t="e">
        <f>AND(#REF!,"AAAAAD87Pxo=")</f>
        <v>#REF!</v>
      </c>
      <c r="AB60" t="e">
        <f>AND(#REF!,"AAAAAD87Pxs=")</f>
        <v>#REF!</v>
      </c>
      <c r="AC60" t="e">
        <f>AND(#REF!,"AAAAAD87Pxw=")</f>
        <v>#REF!</v>
      </c>
      <c r="AD60" t="e">
        <f>AND(#REF!,"AAAAAD87Px0=")</f>
        <v>#REF!</v>
      </c>
      <c r="AE60" t="e">
        <f>AND(#REF!,"AAAAAD87Px4=")</f>
        <v>#REF!</v>
      </c>
      <c r="AF60" t="e">
        <f>AND(#REF!,"AAAAAD87Px8=")</f>
        <v>#REF!</v>
      </c>
      <c r="AG60" t="e">
        <f>AND(#REF!,"AAAAAD87PyA=")</f>
        <v>#REF!</v>
      </c>
      <c r="AH60" t="e">
        <f>AND(#REF!,"AAAAAD87PyE=")</f>
        <v>#REF!</v>
      </c>
      <c r="AI60" t="e">
        <f>AND(#REF!,"AAAAAD87PyI=")</f>
        <v>#REF!</v>
      </c>
      <c r="AJ60" t="e">
        <f>AND(#REF!,"AAAAAD87PyM=")</f>
        <v>#REF!</v>
      </c>
      <c r="AK60" t="e">
        <f>AND(#REF!,"AAAAAD87PyQ=")</f>
        <v>#REF!</v>
      </c>
      <c r="AL60" t="e">
        <f>AND(#REF!,"AAAAAD87PyU=")</f>
        <v>#REF!</v>
      </c>
      <c r="AM60" t="e">
        <f>AND(#REF!,"AAAAAD87PyY=")</f>
        <v>#REF!</v>
      </c>
      <c r="AN60" t="e">
        <f>AND(#REF!,"AAAAAD87Pyc=")</f>
        <v>#REF!</v>
      </c>
      <c r="AO60" t="e">
        <f>AND(#REF!,"AAAAAD87Pyg=")</f>
        <v>#REF!</v>
      </c>
      <c r="AP60" t="e">
        <f>AND(#REF!,"AAAAAD87Pyk=")</f>
        <v>#REF!</v>
      </c>
      <c r="AQ60" t="e">
        <f>AND(#REF!,"AAAAAD87Pyo=")</f>
        <v>#REF!</v>
      </c>
      <c r="AR60" t="e">
        <f>AND(#REF!,"AAAAAD87Pys=")</f>
        <v>#REF!</v>
      </c>
      <c r="AS60" t="e">
        <f>AND(#REF!,"AAAAAD87Pyw=")</f>
        <v>#REF!</v>
      </c>
      <c r="AT60" t="e">
        <f>AND(#REF!,"AAAAAD87Py0=")</f>
        <v>#REF!</v>
      </c>
      <c r="AU60" t="e">
        <f>AND(#REF!,"AAAAAD87Py4=")</f>
        <v>#REF!</v>
      </c>
      <c r="AV60" t="e">
        <f>AND(#REF!,"AAAAAD87Py8=")</f>
        <v>#REF!</v>
      </c>
      <c r="AW60" t="e">
        <f>AND(#REF!,"AAAAAD87PzA=")</f>
        <v>#REF!</v>
      </c>
      <c r="AX60" t="e">
        <f>AND(#REF!,"AAAAAD87PzE=")</f>
        <v>#REF!</v>
      </c>
      <c r="AY60" t="e">
        <f>AND(#REF!,"AAAAAD87PzI=")</f>
        <v>#REF!</v>
      </c>
      <c r="AZ60" t="e">
        <f>AND(#REF!,"AAAAAD87PzM=")</f>
        <v>#REF!</v>
      </c>
      <c r="BA60" t="e">
        <f>AND(#REF!,"AAAAAD87PzQ=")</f>
        <v>#REF!</v>
      </c>
      <c r="BB60" t="e">
        <f>AND(#REF!,"AAAAAD87PzU=")</f>
        <v>#REF!</v>
      </c>
      <c r="BC60" t="e">
        <f>AND(#REF!,"AAAAAD87PzY=")</f>
        <v>#REF!</v>
      </c>
      <c r="BD60" t="e">
        <f>AND(#REF!,"AAAAAD87Pzc=")</f>
        <v>#REF!</v>
      </c>
      <c r="BE60" t="e">
        <f>AND(#REF!,"AAAAAD87Pzg=")</f>
        <v>#REF!</v>
      </c>
      <c r="BF60" t="e">
        <f>AND(#REF!,"AAAAAD87Pzk=")</f>
        <v>#REF!</v>
      </c>
      <c r="BG60" t="e">
        <f>AND(#REF!,"AAAAAD87Pzo=")</f>
        <v>#REF!</v>
      </c>
      <c r="BH60" t="e">
        <f>AND(#REF!,"AAAAAD87Pzs=")</f>
        <v>#REF!</v>
      </c>
      <c r="BI60" t="e">
        <f>AND(#REF!,"AAAAAD87Pzw=")</f>
        <v>#REF!</v>
      </c>
      <c r="BJ60" t="e">
        <f>AND(#REF!,"AAAAAD87Pz0=")</f>
        <v>#REF!</v>
      </c>
      <c r="BK60" t="e">
        <f>AND(#REF!,"AAAAAD87Pz4=")</f>
        <v>#REF!</v>
      </c>
      <c r="BL60" t="e">
        <f>AND(#REF!,"AAAAAD87Pz8=")</f>
        <v>#REF!</v>
      </c>
      <c r="BM60" t="e">
        <f>AND(#REF!,"AAAAAD87P0A=")</f>
        <v>#REF!</v>
      </c>
      <c r="BN60" t="e">
        <f>AND(#REF!,"AAAAAD87P0E=")</f>
        <v>#REF!</v>
      </c>
      <c r="BO60" t="e">
        <f>AND(#REF!,"AAAAAD87P0I=")</f>
        <v>#REF!</v>
      </c>
      <c r="BP60" t="e">
        <f>IF(#REF!,"AAAAAD87P0M=",0)</f>
        <v>#REF!</v>
      </c>
      <c r="BQ60" t="e">
        <f>AND(#REF!,"AAAAAD87P0Q=")</f>
        <v>#REF!</v>
      </c>
      <c r="BR60" t="e">
        <f>AND(#REF!,"AAAAAD87P0U=")</f>
        <v>#REF!</v>
      </c>
      <c r="BS60" t="e">
        <f>AND(#REF!,"AAAAAD87P0Y=")</f>
        <v>#REF!</v>
      </c>
      <c r="BT60" t="e">
        <f>AND(#REF!,"AAAAAD87P0c=")</f>
        <v>#REF!</v>
      </c>
      <c r="BU60" t="e">
        <f>AND(#REF!,"AAAAAD87P0g=")</f>
        <v>#REF!</v>
      </c>
      <c r="BV60" t="e">
        <f>AND(#REF!,"AAAAAD87P0k=")</f>
        <v>#REF!</v>
      </c>
      <c r="BW60" t="e">
        <f>AND(#REF!,"AAAAAD87P0o=")</f>
        <v>#REF!</v>
      </c>
      <c r="BX60" t="e">
        <f>AND(#REF!,"AAAAAD87P0s=")</f>
        <v>#REF!</v>
      </c>
      <c r="BY60" t="e">
        <f>AND(#REF!,"AAAAAD87P0w=")</f>
        <v>#REF!</v>
      </c>
      <c r="BZ60" t="e">
        <f>AND(#REF!,"AAAAAD87P00=")</f>
        <v>#REF!</v>
      </c>
      <c r="CA60" t="e">
        <f>AND(#REF!,"AAAAAD87P04=")</f>
        <v>#REF!</v>
      </c>
      <c r="CB60" t="e">
        <f>AND(#REF!,"AAAAAD87P08=")</f>
        <v>#REF!</v>
      </c>
      <c r="CC60" t="e">
        <f>AND(#REF!,"AAAAAD87P1A=")</f>
        <v>#REF!</v>
      </c>
      <c r="CD60" t="e">
        <f>AND(#REF!,"AAAAAD87P1E=")</f>
        <v>#REF!</v>
      </c>
      <c r="CE60" t="e">
        <f>AND(#REF!,"AAAAAD87P1I=")</f>
        <v>#REF!</v>
      </c>
      <c r="CF60" t="e">
        <f>AND(#REF!,"AAAAAD87P1M=")</f>
        <v>#REF!</v>
      </c>
      <c r="CG60" t="e">
        <f>AND(#REF!,"AAAAAD87P1Q=")</f>
        <v>#REF!</v>
      </c>
      <c r="CH60" t="e">
        <f>AND(#REF!,"AAAAAD87P1U=")</f>
        <v>#REF!</v>
      </c>
      <c r="CI60" t="e">
        <f>AND(#REF!,"AAAAAD87P1Y=")</f>
        <v>#REF!</v>
      </c>
      <c r="CJ60" t="e">
        <f>AND(#REF!,"AAAAAD87P1c=")</f>
        <v>#REF!</v>
      </c>
      <c r="CK60" t="e">
        <f>AND(#REF!,"AAAAAD87P1g=")</f>
        <v>#REF!</v>
      </c>
      <c r="CL60" t="e">
        <f>AND(#REF!,"AAAAAD87P1k=")</f>
        <v>#REF!</v>
      </c>
      <c r="CM60" t="e">
        <f>AND(#REF!,"AAAAAD87P1o=")</f>
        <v>#REF!</v>
      </c>
      <c r="CN60" t="e">
        <f>AND(#REF!,"AAAAAD87P1s=")</f>
        <v>#REF!</v>
      </c>
      <c r="CO60" t="e">
        <f>AND(#REF!,"AAAAAD87P1w=")</f>
        <v>#REF!</v>
      </c>
      <c r="CP60" t="e">
        <f>AND(#REF!,"AAAAAD87P10=")</f>
        <v>#REF!</v>
      </c>
      <c r="CQ60" t="e">
        <f>AND(#REF!,"AAAAAD87P14=")</f>
        <v>#REF!</v>
      </c>
      <c r="CR60" t="e">
        <f>AND(#REF!,"AAAAAD87P18=")</f>
        <v>#REF!</v>
      </c>
      <c r="CS60" t="e">
        <f>AND(#REF!,"AAAAAD87P2A=")</f>
        <v>#REF!</v>
      </c>
      <c r="CT60" t="e">
        <f>AND(#REF!,"AAAAAD87P2E=")</f>
        <v>#REF!</v>
      </c>
      <c r="CU60" t="e">
        <f>AND(#REF!,"AAAAAD87P2I=")</f>
        <v>#REF!</v>
      </c>
      <c r="CV60" t="e">
        <f>AND(#REF!,"AAAAAD87P2M=")</f>
        <v>#REF!</v>
      </c>
      <c r="CW60" t="e">
        <f>AND(#REF!,"AAAAAD87P2Q=")</f>
        <v>#REF!</v>
      </c>
      <c r="CX60" t="e">
        <f>AND(#REF!,"AAAAAD87P2U=")</f>
        <v>#REF!</v>
      </c>
      <c r="CY60" t="e">
        <f>AND(#REF!,"AAAAAD87P2Y=")</f>
        <v>#REF!</v>
      </c>
      <c r="CZ60" t="e">
        <f>AND(#REF!,"AAAAAD87P2c=")</f>
        <v>#REF!</v>
      </c>
      <c r="DA60" t="e">
        <f>AND(#REF!,"AAAAAD87P2g=")</f>
        <v>#REF!</v>
      </c>
      <c r="DB60" t="e">
        <f>AND(#REF!,"AAAAAD87P2k=")</f>
        <v>#REF!</v>
      </c>
      <c r="DC60" t="e">
        <f>AND(#REF!,"AAAAAD87P2o=")</f>
        <v>#REF!</v>
      </c>
      <c r="DD60" t="e">
        <f>AND(#REF!,"AAAAAD87P2s=")</f>
        <v>#REF!</v>
      </c>
      <c r="DE60" t="e">
        <f>AND(#REF!,"AAAAAD87P2w=")</f>
        <v>#REF!</v>
      </c>
      <c r="DF60" t="e">
        <f>IF(#REF!,"AAAAAD87P20=",0)</f>
        <v>#REF!</v>
      </c>
      <c r="DG60" t="e">
        <f>AND(#REF!,"AAAAAD87P24=")</f>
        <v>#REF!</v>
      </c>
      <c r="DH60" t="e">
        <f>AND(#REF!,"AAAAAD87P28=")</f>
        <v>#REF!</v>
      </c>
      <c r="DI60" t="e">
        <f>AND(#REF!,"AAAAAD87P3A=")</f>
        <v>#REF!</v>
      </c>
      <c r="DJ60" t="e">
        <f>AND(#REF!,"AAAAAD87P3E=")</f>
        <v>#REF!</v>
      </c>
      <c r="DK60" t="e">
        <f>AND(#REF!,"AAAAAD87P3I=")</f>
        <v>#REF!</v>
      </c>
      <c r="DL60" t="e">
        <f>AND(#REF!,"AAAAAD87P3M=")</f>
        <v>#REF!</v>
      </c>
      <c r="DM60" t="e">
        <f>AND(#REF!,"AAAAAD87P3Q=")</f>
        <v>#REF!</v>
      </c>
      <c r="DN60" t="e">
        <f>AND(#REF!,"AAAAAD87P3U=")</f>
        <v>#REF!</v>
      </c>
      <c r="DO60" t="e">
        <f>AND(#REF!,"AAAAAD87P3Y=")</f>
        <v>#REF!</v>
      </c>
      <c r="DP60" t="e">
        <f>AND(#REF!,"AAAAAD87P3c=")</f>
        <v>#REF!</v>
      </c>
      <c r="DQ60" t="e">
        <f>AND(#REF!,"AAAAAD87P3g=")</f>
        <v>#REF!</v>
      </c>
      <c r="DR60" t="e">
        <f>AND(#REF!,"AAAAAD87P3k=")</f>
        <v>#REF!</v>
      </c>
      <c r="DS60" t="e">
        <f>AND(#REF!,"AAAAAD87P3o=")</f>
        <v>#REF!</v>
      </c>
      <c r="DT60" t="e">
        <f>AND(#REF!,"AAAAAD87P3s=")</f>
        <v>#REF!</v>
      </c>
      <c r="DU60" t="e">
        <f>AND(#REF!,"AAAAAD87P3w=")</f>
        <v>#REF!</v>
      </c>
      <c r="DV60" t="e">
        <f>AND(#REF!,"AAAAAD87P30=")</f>
        <v>#REF!</v>
      </c>
      <c r="DW60" t="e">
        <f>AND(#REF!,"AAAAAD87P34=")</f>
        <v>#REF!</v>
      </c>
      <c r="DX60" t="e">
        <f>AND(#REF!,"AAAAAD87P38=")</f>
        <v>#REF!</v>
      </c>
      <c r="DY60" t="e">
        <f>AND(#REF!,"AAAAAD87P4A=")</f>
        <v>#REF!</v>
      </c>
      <c r="DZ60" t="e">
        <f>AND(#REF!,"AAAAAD87P4E=")</f>
        <v>#REF!</v>
      </c>
      <c r="EA60" t="e">
        <f>AND(#REF!,"AAAAAD87P4I=")</f>
        <v>#REF!</v>
      </c>
      <c r="EB60" t="e">
        <f>AND(#REF!,"AAAAAD87P4M=")</f>
        <v>#REF!</v>
      </c>
      <c r="EC60" t="e">
        <f>AND(#REF!,"AAAAAD87P4Q=")</f>
        <v>#REF!</v>
      </c>
      <c r="ED60" t="e">
        <f>AND(#REF!,"AAAAAD87P4U=")</f>
        <v>#REF!</v>
      </c>
      <c r="EE60" t="e">
        <f>AND(#REF!,"AAAAAD87P4Y=")</f>
        <v>#REF!</v>
      </c>
      <c r="EF60" t="e">
        <f>AND(#REF!,"AAAAAD87P4c=")</f>
        <v>#REF!</v>
      </c>
      <c r="EG60" t="e">
        <f>AND(#REF!,"AAAAAD87P4g=")</f>
        <v>#REF!</v>
      </c>
      <c r="EH60" t="e">
        <f>AND(#REF!,"AAAAAD87P4k=")</f>
        <v>#REF!</v>
      </c>
      <c r="EI60" t="e">
        <f>AND(#REF!,"AAAAAD87P4o=")</f>
        <v>#REF!</v>
      </c>
      <c r="EJ60" t="e">
        <f>AND(#REF!,"AAAAAD87P4s=")</f>
        <v>#REF!</v>
      </c>
      <c r="EK60" t="e">
        <f>AND(#REF!,"AAAAAD87P4w=")</f>
        <v>#REF!</v>
      </c>
      <c r="EL60" t="e">
        <f>AND(#REF!,"AAAAAD87P40=")</f>
        <v>#REF!</v>
      </c>
      <c r="EM60" t="e">
        <f>AND(#REF!,"AAAAAD87P44=")</f>
        <v>#REF!</v>
      </c>
      <c r="EN60" t="e">
        <f>AND(#REF!,"AAAAAD87P48=")</f>
        <v>#REF!</v>
      </c>
      <c r="EO60" t="e">
        <f>AND(#REF!,"AAAAAD87P5A=")</f>
        <v>#REF!</v>
      </c>
      <c r="EP60" t="e">
        <f>AND(#REF!,"AAAAAD87P5E=")</f>
        <v>#REF!</v>
      </c>
      <c r="EQ60" t="e">
        <f>AND(#REF!,"AAAAAD87P5I=")</f>
        <v>#REF!</v>
      </c>
      <c r="ER60" t="e">
        <f>AND(#REF!,"AAAAAD87P5M=")</f>
        <v>#REF!</v>
      </c>
      <c r="ES60" t="e">
        <f>AND(#REF!,"AAAAAD87P5Q=")</f>
        <v>#REF!</v>
      </c>
      <c r="ET60" t="e">
        <f>AND(#REF!,"AAAAAD87P5U=")</f>
        <v>#REF!</v>
      </c>
      <c r="EU60" t="e">
        <f>AND(#REF!,"AAAAAD87P5Y=")</f>
        <v>#REF!</v>
      </c>
      <c r="EV60" t="e">
        <f>IF(#REF!,"AAAAAD87P5c=",0)</f>
        <v>#REF!</v>
      </c>
      <c r="EW60" t="e">
        <f>AND(#REF!,"AAAAAD87P5g=")</f>
        <v>#REF!</v>
      </c>
      <c r="EX60" t="e">
        <f>AND(#REF!,"AAAAAD87P5k=")</f>
        <v>#REF!</v>
      </c>
      <c r="EY60" t="e">
        <f>AND(#REF!,"AAAAAD87P5o=")</f>
        <v>#REF!</v>
      </c>
      <c r="EZ60" t="e">
        <f>AND(#REF!,"AAAAAD87P5s=")</f>
        <v>#REF!</v>
      </c>
      <c r="FA60" t="e">
        <f>AND(#REF!,"AAAAAD87P5w=")</f>
        <v>#REF!</v>
      </c>
      <c r="FB60" t="e">
        <f>AND(#REF!,"AAAAAD87P50=")</f>
        <v>#REF!</v>
      </c>
      <c r="FC60" t="e">
        <f>AND(#REF!,"AAAAAD87P54=")</f>
        <v>#REF!</v>
      </c>
      <c r="FD60" t="e">
        <f>AND(#REF!,"AAAAAD87P58=")</f>
        <v>#REF!</v>
      </c>
      <c r="FE60" t="e">
        <f>AND(#REF!,"AAAAAD87P6A=")</f>
        <v>#REF!</v>
      </c>
      <c r="FF60" t="e">
        <f>AND(#REF!,"AAAAAD87P6E=")</f>
        <v>#REF!</v>
      </c>
      <c r="FG60" t="e">
        <f>AND(#REF!,"AAAAAD87P6I=")</f>
        <v>#REF!</v>
      </c>
      <c r="FH60" t="e">
        <f>AND(#REF!,"AAAAAD87P6M=")</f>
        <v>#REF!</v>
      </c>
      <c r="FI60" t="e">
        <f>AND(#REF!,"AAAAAD87P6Q=")</f>
        <v>#REF!</v>
      </c>
      <c r="FJ60" t="e">
        <f>AND(#REF!,"AAAAAD87P6U=")</f>
        <v>#REF!</v>
      </c>
      <c r="FK60" t="e">
        <f>AND(#REF!,"AAAAAD87P6Y=")</f>
        <v>#REF!</v>
      </c>
      <c r="FL60" t="e">
        <f>AND(#REF!,"AAAAAD87P6c=")</f>
        <v>#REF!</v>
      </c>
      <c r="FM60" t="e">
        <f>AND(#REF!,"AAAAAD87P6g=")</f>
        <v>#REF!</v>
      </c>
      <c r="FN60" t="e">
        <f>AND(#REF!,"AAAAAD87P6k=")</f>
        <v>#REF!</v>
      </c>
      <c r="FO60" t="e">
        <f>AND(#REF!,"AAAAAD87P6o=")</f>
        <v>#REF!</v>
      </c>
      <c r="FP60" t="e">
        <f>AND(#REF!,"AAAAAD87P6s=")</f>
        <v>#REF!</v>
      </c>
      <c r="FQ60" t="e">
        <f>AND(#REF!,"AAAAAD87P6w=")</f>
        <v>#REF!</v>
      </c>
      <c r="FR60" t="e">
        <f>AND(#REF!,"AAAAAD87P60=")</f>
        <v>#REF!</v>
      </c>
      <c r="FS60" t="e">
        <f>AND(#REF!,"AAAAAD87P64=")</f>
        <v>#REF!</v>
      </c>
      <c r="FT60" t="e">
        <f>AND(#REF!,"AAAAAD87P68=")</f>
        <v>#REF!</v>
      </c>
      <c r="FU60" t="e">
        <f>AND(#REF!,"AAAAAD87P7A=")</f>
        <v>#REF!</v>
      </c>
      <c r="FV60" t="e">
        <f>AND(#REF!,"AAAAAD87P7E=")</f>
        <v>#REF!</v>
      </c>
      <c r="FW60" t="e">
        <f>AND(#REF!,"AAAAAD87P7I=")</f>
        <v>#REF!</v>
      </c>
      <c r="FX60" t="e">
        <f>AND(#REF!,"AAAAAD87P7M=")</f>
        <v>#REF!</v>
      </c>
      <c r="FY60" t="e">
        <f>AND(#REF!,"AAAAAD87P7Q=")</f>
        <v>#REF!</v>
      </c>
      <c r="FZ60" t="e">
        <f>AND(#REF!,"AAAAAD87P7U=")</f>
        <v>#REF!</v>
      </c>
      <c r="GA60" t="e">
        <f>AND(#REF!,"AAAAAD87P7Y=")</f>
        <v>#REF!</v>
      </c>
      <c r="GB60" t="e">
        <f>AND(#REF!,"AAAAAD87P7c=")</f>
        <v>#REF!</v>
      </c>
      <c r="GC60" t="e">
        <f>AND(#REF!,"AAAAAD87P7g=")</f>
        <v>#REF!</v>
      </c>
      <c r="GD60" t="e">
        <f>AND(#REF!,"AAAAAD87P7k=")</f>
        <v>#REF!</v>
      </c>
      <c r="GE60" t="e">
        <f>AND(#REF!,"AAAAAD87P7o=")</f>
        <v>#REF!</v>
      </c>
      <c r="GF60" t="e">
        <f>AND(#REF!,"AAAAAD87P7s=")</f>
        <v>#REF!</v>
      </c>
      <c r="GG60" t="e">
        <f>AND(#REF!,"AAAAAD87P7w=")</f>
        <v>#REF!</v>
      </c>
      <c r="GH60" t="e">
        <f>AND(#REF!,"AAAAAD87P70=")</f>
        <v>#REF!</v>
      </c>
      <c r="GI60" t="e">
        <f>AND(#REF!,"AAAAAD87P74=")</f>
        <v>#REF!</v>
      </c>
      <c r="GJ60" t="e">
        <f>AND(#REF!,"AAAAAD87P78=")</f>
        <v>#REF!</v>
      </c>
      <c r="GK60" t="e">
        <f>AND(#REF!,"AAAAAD87P8A=")</f>
        <v>#REF!</v>
      </c>
      <c r="GL60" t="e">
        <f>IF(#REF!,"AAAAAD87P8E=",0)</f>
        <v>#REF!</v>
      </c>
      <c r="GM60" t="e">
        <f>AND(#REF!,"AAAAAD87P8I=")</f>
        <v>#REF!</v>
      </c>
      <c r="GN60" t="e">
        <f>AND(#REF!,"AAAAAD87P8M=")</f>
        <v>#REF!</v>
      </c>
      <c r="GO60" t="e">
        <f>AND(#REF!,"AAAAAD87P8Q=")</f>
        <v>#REF!</v>
      </c>
      <c r="GP60" t="e">
        <f>AND(#REF!,"AAAAAD87P8U=")</f>
        <v>#REF!</v>
      </c>
      <c r="GQ60" t="e">
        <f>AND(#REF!,"AAAAAD87P8Y=")</f>
        <v>#REF!</v>
      </c>
      <c r="GR60" t="e">
        <f>AND(#REF!,"AAAAAD87P8c=")</f>
        <v>#REF!</v>
      </c>
      <c r="GS60" t="e">
        <f>AND(#REF!,"AAAAAD87P8g=")</f>
        <v>#REF!</v>
      </c>
      <c r="GT60" t="e">
        <f>AND(#REF!,"AAAAAD87P8k=")</f>
        <v>#REF!</v>
      </c>
      <c r="GU60" t="e">
        <f>AND(#REF!,"AAAAAD87P8o=")</f>
        <v>#REF!</v>
      </c>
      <c r="GV60" t="e">
        <f>AND(#REF!,"AAAAAD87P8s=")</f>
        <v>#REF!</v>
      </c>
      <c r="GW60" t="e">
        <f>AND(#REF!,"AAAAAD87P8w=")</f>
        <v>#REF!</v>
      </c>
      <c r="GX60" t="e">
        <f>AND(#REF!,"AAAAAD87P80=")</f>
        <v>#REF!</v>
      </c>
      <c r="GY60" t="e">
        <f>AND(#REF!,"AAAAAD87P84=")</f>
        <v>#REF!</v>
      </c>
      <c r="GZ60" t="e">
        <f>AND(#REF!,"AAAAAD87P88=")</f>
        <v>#REF!</v>
      </c>
      <c r="HA60" t="e">
        <f>AND(#REF!,"AAAAAD87P9A=")</f>
        <v>#REF!</v>
      </c>
      <c r="HB60" t="e">
        <f>AND(#REF!,"AAAAAD87P9E=")</f>
        <v>#REF!</v>
      </c>
      <c r="HC60" t="e">
        <f>AND(#REF!,"AAAAAD87P9I=")</f>
        <v>#REF!</v>
      </c>
      <c r="HD60" t="e">
        <f>AND(#REF!,"AAAAAD87P9M=")</f>
        <v>#REF!</v>
      </c>
      <c r="HE60" t="e">
        <f>AND(#REF!,"AAAAAD87P9Q=")</f>
        <v>#REF!</v>
      </c>
      <c r="HF60" t="e">
        <f>AND(#REF!,"AAAAAD87P9U=")</f>
        <v>#REF!</v>
      </c>
      <c r="HG60" t="e">
        <f>AND(#REF!,"AAAAAD87P9Y=")</f>
        <v>#REF!</v>
      </c>
      <c r="HH60" t="e">
        <f>AND(#REF!,"AAAAAD87P9c=")</f>
        <v>#REF!</v>
      </c>
      <c r="HI60" t="e">
        <f>AND(#REF!,"AAAAAD87P9g=")</f>
        <v>#REF!</v>
      </c>
      <c r="HJ60" t="e">
        <f>AND(#REF!,"AAAAAD87P9k=")</f>
        <v>#REF!</v>
      </c>
      <c r="HK60" t="e">
        <f>AND(#REF!,"AAAAAD87P9o=")</f>
        <v>#REF!</v>
      </c>
      <c r="HL60" t="e">
        <f>AND(#REF!,"AAAAAD87P9s=")</f>
        <v>#REF!</v>
      </c>
      <c r="HM60" t="e">
        <f>AND(#REF!,"AAAAAD87P9w=")</f>
        <v>#REF!</v>
      </c>
      <c r="HN60" t="e">
        <f>AND(#REF!,"AAAAAD87P90=")</f>
        <v>#REF!</v>
      </c>
      <c r="HO60" t="e">
        <f>AND(#REF!,"AAAAAD87P94=")</f>
        <v>#REF!</v>
      </c>
      <c r="HP60" t="e">
        <f>AND(#REF!,"AAAAAD87P98=")</f>
        <v>#REF!</v>
      </c>
      <c r="HQ60" t="e">
        <f>AND(#REF!,"AAAAAD87P+A=")</f>
        <v>#REF!</v>
      </c>
      <c r="HR60" t="e">
        <f>AND(#REF!,"AAAAAD87P+E=")</f>
        <v>#REF!</v>
      </c>
      <c r="HS60" t="e">
        <f>AND(#REF!,"AAAAAD87P+I=")</f>
        <v>#REF!</v>
      </c>
      <c r="HT60" t="e">
        <f>AND(#REF!,"AAAAAD87P+M=")</f>
        <v>#REF!</v>
      </c>
      <c r="HU60" t="e">
        <f>AND(#REF!,"AAAAAD87P+Q=")</f>
        <v>#REF!</v>
      </c>
      <c r="HV60" t="e">
        <f>AND(#REF!,"AAAAAD87P+U=")</f>
        <v>#REF!</v>
      </c>
      <c r="HW60" t="e">
        <f>AND(#REF!,"AAAAAD87P+Y=")</f>
        <v>#REF!</v>
      </c>
      <c r="HX60" t="e">
        <f>AND(#REF!,"AAAAAD87P+c=")</f>
        <v>#REF!</v>
      </c>
      <c r="HY60" t="e">
        <f>AND(#REF!,"AAAAAD87P+g=")</f>
        <v>#REF!</v>
      </c>
      <c r="HZ60" t="e">
        <f>AND(#REF!,"AAAAAD87P+k=")</f>
        <v>#REF!</v>
      </c>
      <c r="IA60" t="e">
        <f>AND(#REF!,"AAAAAD87P+o=")</f>
        <v>#REF!</v>
      </c>
      <c r="IB60" t="e">
        <f>IF(#REF!,"AAAAAD87P+s=",0)</f>
        <v>#REF!</v>
      </c>
      <c r="IC60" t="e">
        <f>AND(#REF!,"AAAAAD87P+w=")</f>
        <v>#REF!</v>
      </c>
      <c r="ID60" t="e">
        <f>AND(#REF!,"AAAAAD87P+0=")</f>
        <v>#REF!</v>
      </c>
      <c r="IE60" t="e">
        <f>AND(#REF!,"AAAAAD87P+4=")</f>
        <v>#REF!</v>
      </c>
      <c r="IF60" t="e">
        <f>AND(#REF!,"AAAAAD87P+8=")</f>
        <v>#REF!</v>
      </c>
      <c r="IG60" t="e">
        <f>AND(#REF!,"AAAAAD87P/A=")</f>
        <v>#REF!</v>
      </c>
      <c r="IH60" t="e">
        <f>AND(#REF!,"AAAAAD87P/E=")</f>
        <v>#REF!</v>
      </c>
      <c r="II60" t="e">
        <f>AND(#REF!,"AAAAAD87P/I=")</f>
        <v>#REF!</v>
      </c>
      <c r="IJ60" t="e">
        <f>AND(#REF!,"AAAAAD87P/M=")</f>
        <v>#REF!</v>
      </c>
      <c r="IK60" t="e">
        <f>AND(#REF!,"AAAAAD87P/Q=")</f>
        <v>#REF!</v>
      </c>
      <c r="IL60" t="e">
        <f>AND(#REF!,"AAAAAD87P/U=")</f>
        <v>#REF!</v>
      </c>
      <c r="IM60" t="e">
        <f>AND(#REF!,"AAAAAD87P/Y=")</f>
        <v>#REF!</v>
      </c>
      <c r="IN60" t="e">
        <f>AND(#REF!,"AAAAAD87P/c=")</f>
        <v>#REF!</v>
      </c>
      <c r="IO60" t="e">
        <f>AND(#REF!,"AAAAAD87P/g=")</f>
        <v>#REF!</v>
      </c>
      <c r="IP60" t="e">
        <f>AND(#REF!,"AAAAAD87P/k=")</f>
        <v>#REF!</v>
      </c>
      <c r="IQ60" t="e">
        <f>AND(#REF!,"AAAAAD87P/o=")</f>
        <v>#REF!</v>
      </c>
      <c r="IR60" t="e">
        <f>AND(#REF!,"AAAAAD87P/s=")</f>
        <v>#REF!</v>
      </c>
      <c r="IS60" t="e">
        <f>AND(#REF!,"AAAAAD87P/w=")</f>
        <v>#REF!</v>
      </c>
      <c r="IT60" t="e">
        <f>AND(#REF!,"AAAAAD87P/0=")</f>
        <v>#REF!</v>
      </c>
      <c r="IU60" t="e">
        <f>AND(#REF!,"AAAAAD87P/4=")</f>
        <v>#REF!</v>
      </c>
      <c r="IV60" t="e">
        <f>AND(#REF!,"AAAAAD87P/8=")</f>
        <v>#REF!</v>
      </c>
    </row>
    <row r="61" spans="1:256">
      <c r="A61" t="e">
        <f>AND(#REF!,"AAAAAC2yvgA=")</f>
        <v>#REF!</v>
      </c>
      <c r="B61" t="e">
        <f>AND(#REF!,"AAAAAC2yvgE=")</f>
        <v>#REF!</v>
      </c>
      <c r="C61" t="e">
        <f>AND(#REF!,"AAAAAC2yvgI=")</f>
        <v>#REF!</v>
      </c>
      <c r="D61" t="e">
        <f>AND(#REF!,"AAAAAC2yvgM=")</f>
        <v>#REF!</v>
      </c>
      <c r="E61" t="e">
        <f>AND(#REF!,"AAAAAC2yvgQ=")</f>
        <v>#REF!</v>
      </c>
      <c r="F61" t="e">
        <f>AND(#REF!,"AAAAAC2yvgU=")</f>
        <v>#REF!</v>
      </c>
      <c r="G61" t="e">
        <f>AND(#REF!,"AAAAAC2yvgY=")</f>
        <v>#REF!</v>
      </c>
      <c r="H61" t="e">
        <f>AND(#REF!,"AAAAAC2yvgc=")</f>
        <v>#REF!</v>
      </c>
      <c r="I61" t="e">
        <f>AND(#REF!,"AAAAAC2yvgg=")</f>
        <v>#REF!</v>
      </c>
      <c r="J61" t="e">
        <f>AND(#REF!,"AAAAAC2yvgk=")</f>
        <v>#REF!</v>
      </c>
      <c r="K61" t="e">
        <f>AND(#REF!,"AAAAAC2yvgo=")</f>
        <v>#REF!</v>
      </c>
      <c r="L61" t="e">
        <f>AND(#REF!,"AAAAAC2yvgs=")</f>
        <v>#REF!</v>
      </c>
      <c r="M61" t="e">
        <f>AND(#REF!,"AAAAAC2yvgw=")</f>
        <v>#REF!</v>
      </c>
      <c r="N61" t="e">
        <f>AND(#REF!,"AAAAAC2yvg0=")</f>
        <v>#REF!</v>
      </c>
      <c r="O61" t="e">
        <f>AND(#REF!,"AAAAAC2yvg4=")</f>
        <v>#REF!</v>
      </c>
      <c r="P61" t="e">
        <f>AND(#REF!,"AAAAAC2yvg8=")</f>
        <v>#REF!</v>
      </c>
      <c r="Q61" t="e">
        <f>AND(#REF!,"AAAAAC2yvhA=")</f>
        <v>#REF!</v>
      </c>
      <c r="R61" t="e">
        <f>AND(#REF!,"AAAAAC2yvhE=")</f>
        <v>#REF!</v>
      </c>
      <c r="S61" t="e">
        <f>AND(#REF!,"AAAAAC2yvhI=")</f>
        <v>#REF!</v>
      </c>
      <c r="T61" t="e">
        <f>AND(#REF!,"AAAAAC2yvhM=")</f>
        <v>#REF!</v>
      </c>
      <c r="U61" t="e">
        <f>AND(#REF!,"AAAAAC2yvhQ=")</f>
        <v>#REF!</v>
      </c>
      <c r="V61" t="e">
        <f>IF(#REF!,"AAAAAC2yvhU=",0)</f>
        <v>#REF!</v>
      </c>
      <c r="W61" t="e">
        <f>AND(#REF!,"AAAAAC2yvhY=")</f>
        <v>#REF!</v>
      </c>
      <c r="X61" t="e">
        <f>AND(#REF!,"AAAAAC2yvhc=")</f>
        <v>#REF!</v>
      </c>
      <c r="Y61" t="e">
        <f>AND(#REF!,"AAAAAC2yvhg=")</f>
        <v>#REF!</v>
      </c>
      <c r="Z61" t="e">
        <f>AND(#REF!,"AAAAAC2yvhk=")</f>
        <v>#REF!</v>
      </c>
      <c r="AA61" t="e">
        <f>AND(#REF!,"AAAAAC2yvho=")</f>
        <v>#REF!</v>
      </c>
      <c r="AB61" t="e">
        <f>AND(#REF!,"AAAAAC2yvhs=")</f>
        <v>#REF!</v>
      </c>
      <c r="AC61" t="e">
        <f>AND(#REF!,"AAAAAC2yvhw=")</f>
        <v>#REF!</v>
      </c>
      <c r="AD61" t="e">
        <f>AND(#REF!,"AAAAAC2yvh0=")</f>
        <v>#REF!</v>
      </c>
      <c r="AE61" t="e">
        <f>AND(#REF!,"AAAAAC2yvh4=")</f>
        <v>#REF!</v>
      </c>
      <c r="AF61" t="e">
        <f>AND(#REF!,"AAAAAC2yvh8=")</f>
        <v>#REF!</v>
      </c>
      <c r="AG61" t="e">
        <f>AND(#REF!,"AAAAAC2yviA=")</f>
        <v>#REF!</v>
      </c>
      <c r="AH61" t="e">
        <f>AND(#REF!,"AAAAAC2yviE=")</f>
        <v>#REF!</v>
      </c>
      <c r="AI61" t="e">
        <f>AND(#REF!,"AAAAAC2yviI=")</f>
        <v>#REF!</v>
      </c>
      <c r="AJ61" t="e">
        <f>AND(#REF!,"AAAAAC2yviM=")</f>
        <v>#REF!</v>
      </c>
      <c r="AK61" t="e">
        <f>AND(#REF!,"AAAAAC2yviQ=")</f>
        <v>#REF!</v>
      </c>
      <c r="AL61" t="e">
        <f>AND(#REF!,"AAAAAC2yviU=")</f>
        <v>#REF!</v>
      </c>
      <c r="AM61" t="e">
        <f>AND(#REF!,"AAAAAC2yviY=")</f>
        <v>#REF!</v>
      </c>
      <c r="AN61" t="e">
        <f>AND(#REF!,"AAAAAC2yvic=")</f>
        <v>#REF!</v>
      </c>
      <c r="AO61" t="e">
        <f>AND(#REF!,"AAAAAC2yvig=")</f>
        <v>#REF!</v>
      </c>
      <c r="AP61" t="e">
        <f>AND(#REF!,"AAAAAC2yvik=")</f>
        <v>#REF!</v>
      </c>
      <c r="AQ61" t="e">
        <f>AND(#REF!,"AAAAAC2yvio=")</f>
        <v>#REF!</v>
      </c>
      <c r="AR61" t="e">
        <f>AND(#REF!,"AAAAAC2yvis=")</f>
        <v>#REF!</v>
      </c>
      <c r="AS61" t="e">
        <f>AND(#REF!,"AAAAAC2yviw=")</f>
        <v>#REF!</v>
      </c>
      <c r="AT61" t="e">
        <f>AND(#REF!,"AAAAAC2yvi0=")</f>
        <v>#REF!</v>
      </c>
      <c r="AU61" t="e">
        <f>AND(#REF!,"AAAAAC2yvi4=")</f>
        <v>#REF!</v>
      </c>
      <c r="AV61" t="e">
        <f>AND(#REF!,"AAAAAC2yvi8=")</f>
        <v>#REF!</v>
      </c>
      <c r="AW61" t="e">
        <f>AND(#REF!,"AAAAAC2yvjA=")</f>
        <v>#REF!</v>
      </c>
      <c r="AX61" t="e">
        <f>AND(#REF!,"AAAAAC2yvjE=")</f>
        <v>#REF!</v>
      </c>
      <c r="AY61" t="e">
        <f>AND(#REF!,"AAAAAC2yvjI=")</f>
        <v>#REF!</v>
      </c>
      <c r="AZ61" t="e">
        <f>AND(#REF!,"AAAAAC2yvjM=")</f>
        <v>#REF!</v>
      </c>
      <c r="BA61" t="e">
        <f>AND(#REF!,"AAAAAC2yvjQ=")</f>
        <v>#REF!</v>
      </c>
      <c r="BB61" t="e">
        <f>AND(#REF!,"AAAAAC2yvjU=")</f>
        <v>#REF!</v>
      </c>
      <c r="BC61" t="e">
        <f>AND(#REF!,"AAAAAC2yvjY=")</f>
        <v>#REF!</v>
      </c>
      <c r="BD61" t="e">
        <f>AND(#REF!,"AAAAAC2yvjc=")</f>
        <v>#REF!</v>
      </c>
      <c r="BE61" t="e">
        <f>AND(#REF!,"AAAAAC2yvjg=")</f>
        <v>#REF!</v>
      </c>
      <c r="BF61" t="e">
        <f>AND(#REF!,"AAAAAC2yvjk=")</f>
        <v>#REF!</v>
      </c>
      <c r="BG61" t="e">
        <f>AND(#REF!,"AAAAAC2yvjo=")</f>
        <v>#REF!</v>
      </c>
      <c r="BH61" t="e">
        <f>AND(#REF!,"AAAAAC2yvjs=")</f>
        <v>#REF!</v>
      </c>
      <c r="BI61" t="e">
        <f>AND(#REF!,"AAAAAC2yvjw=")</f>
        <v>#REF!</v>
      </c>
      <c r="BJ61" t="e">
        <f>AND(#REF!,"AAAAAC2yvj0=")</f>
        <v>#REF!</v>
      </c>
      <c r="BK61" t="e">
        <f>AND(#REF!,"AAAAAC2yvj4=")</f>
        <v>#REF!</v>
      </c>
      <c r="BL61" t="e">
        <f>IF(#REF!,"AAAAAC2yvj8=",0)</f>
        <v>#REF!</v>
      </c>
      <c r="BM61" t="e">
        <f>AND(#REF!,"AAAAAC2yvkA=")</f>
        <v>#REF!</v>
      </c>
      <c r="BN61" t="e">
        <f>AND(#REF!,"AAAAAC2yvkE=")</f>
        <v>#REF!</v>
      </c>
      <c r="BO61" t="e">
        <f>AND(#REF!,"AAAAAC2yvkI=")</f>
        <v>#REF!</v>
      </c>
      <c r="BP61" t="e">
        <f>AND(#REF!,"AAAAAC2yvkM=")</f>
        <v>#REF!</v>
      </c>
      <c r="BQ61" t="e">
        <f>AND(#REF!,"AAAAAC2yvkQ=")</f>
        <v>#REF!</v>
      </c>
      <c r="BR61" t="e">
        <f>AND(#REF!,"AAAAAC2yvkU=")</f>
        <v>#REF!</v>
      </c>
      <c r="BS61" t="e">
        <f>AND(#REF!,"AAAAAC2yvkY=")</f>
        <v>#REF!</v>
      </c>
      <c r="BT61" t="e">
        <f>AND(#REF!,"AAAAAC2yvkc=")</f>
        <v>#REF!</v>
      </c>
      <c r="BU61" t="e">
        <f>AND(#REF!,"AAAAAC2yvkg=")</f>
        <v>#REF!</v>
      </c>
      <c r="BV61" t="e">
        <f>AND(#REF!,"AAAAAC2yvkk=")</f>
        <v>#REF!</v>
      </c>
      <c r="BW61" t="e">
        <f>AND(#REF!,"AAAAAC2yvko=")</f>
        <v>#REF!</v>
      </c>
      <c r="BX61" t="e">
        <f>AND(#REF!,"AAAAAC2yvks=")</f>
        <v>#REF!</v>
      </c>
      <c r="BY61" t="e">
        <f>AND(#REF!,"AAAAAC2yvkw=")</f>
        <v>#REF!</v>
      </c>
      <c r="BZ61" t="e">
        <f>AND(#REF!,"AAAAAC2yvk0=")</f>
        <v>#REF!</v>
      </c>
      <c r="CA61" t="e">
        <f>AND(#REF!,"AAAAAC2yvk4=")</f>
        <v>#REF!</v>
      </c>
      <c r="CB61" t="e">
        <f>AND(#REF!,"AAAAAC2yvk8=")</f>
        <v>#REF!</v>
      </c>
      <c r="CC61" t="e">
        <f>AND(#REF!,"AAAAAC2yvlA=")</f>
        <v>#REF!</v>
      </c>
      <c r="CD61" t="e">
        <f>AND(#REF!,"AAAAAC2yvlE=")</f>
        <v>#REF!</v>
      </c>
      <c r="CE61" t="e">
        <f>AND(#REF!,"AAAAAC2yvlI=")</f>
        <v>#REF!</v>
      </c>
      <c r="CF61" t="e">
        <f>AND(#REF!,"AAAAAC2yvlM=")</f>
        <v>#REF!</v>
      </c>
      <c r="CG61" t="e">
        <f>AND(#REF!,"AAAAAC2yvlQ=")</f>
        <v>#REF!</v>
      </c>
      <c r="CH61" t="e">
        <f>AND(#REF!,"AAAAAC2yvlU=")</f>
        <v>#REF!</v>
      </c>
      <c r="CI61" t="e">
        <f>AND(#REF!,"AAAAAC2yvlY=")</f>
        <v>#REF!</v>
      </c>
      <c r="CJ61" t="e">
        <f>AND(#REF!,"AAAAAC2yvlc=")</f>
        <v>#REF!</v>
      </c>
      <c r="CK61" t="e">
        <f>AND(#REF!,"AAAAAC2yvlg=")</f>
        <v>#REF!</v>
      </c>
      <c r="CL61" t="e">
        <f>AND(#REF!,"AAAAAC2yvlk=")</f>
        <v>#REF!</v>
      </c>
      <c r="CM61" t="e">
        <f>AND(#REF!,"AAAAAC2yvlo=")</f>
        <v>#REF!</v>
      </c>
      <c r="CN61" t="e">
        <f>AND(#REF!,"AAAAAC2yvls=")</f>
        <v>#REF!</v>
      </c>
      <c r="CO61" t="e">
        <f>AND(#REF!,"AAAAAC2yvlw=")</f>
        <v>#REF!</v>
      </c>
      <c r="CP61" t="e">
        <f>AND(#REF!,"AAAAAC2yvl0=")</f>
        <v>#REF!</v>
      </c>
      <c r="CQ61" t="e">
        <f>AND(#REF!,"AAAAAC2yvl4=")</f>
        <v>#REF!</v>
      </c>
      <c r="CR61" t="e">
        <f>AND(#REF!,"AAAAAC2yvl8=")</f>
        <v>#REF!</v>
      </c>
      <c r="CS61" t="e">
        <f>AND(#REF!,"AAAAAC2yvmA=")</f>
        <v>#REF!</v>
      </c>
      <c r="CT61" t="e">
        <f>AND(#REF!,"AAAAAC2yvmE=")</f>
        <v>#REF!</v>
      </c>
      <c r="CU61" t="e">
        <f>AND(#REF!,"AAAAAC2yvmI=")</f>
        <v>#REF!</v>
      </c>
      <c r="CV61" t="e">
        <f>AND(#REF!,"AAAAAC2yvmM=")</f>
        <v>#REF!</v>
      </c>
      <c r="CW61" t="e">
        <f>AND(#REF!,"AAAAAC2yvmQ=")</f>
        <v>#REF!</v>
      </c>
      <c r="CX61" t="e">
        <f>AND(#REF!,"AAAAAC2yvmU=")</f>
        <v>#REF!</v>
      </c>
      <c r="CY61" t="e">
        <f>AND(#REF!,"AAAAAC2yvmY=")</f>
        <v>#REF!</v>
      </c>
      <c r="CZ61" t="e">
        <f>AND(#REF!,"AAAAAC2yvmc=")</f>
        <v>#REF!</v>
      </c>
      <c r="DA61" t="e">
        <f>AND(#REF!,"AAAAAC2yvmg=")</f>
        <v>#REF!</v>
      </c>
      <c r="DB61" t="e">
        <f>IF(#REF!,"AAAAAC2yvmk=",0)</f>
        <v>#REF!</v>
      </c>
      <c r="DC61" t="e">
        <f>AND(#REF!,"AAAAAC2yvmo=")</f>
        <v>#REF!</v>
      </c>
      <c r="DD61" t="e">
        <f>AND(#REF!,"AAAAAC2yvms=")</f>
        <v>#REF!</v>
      </c>
      <c r="DE61" t="e">
        <f>AND(#REF!,"AAAAAC2yvmw=")</f>
        <v>#REF!</v>
      </c>
      <c r="DF61" t="e">
        <f>AND(#REF!,"AAAAAC2yvm0=")</f>
        <v>#REF!</v>
      </c>
      <c r="DG61" t="e">
        <f>AND(#REF!,"AAAAAC2yvm4=")</f>
        <v>#REF!</v>
      </c>
      <c r="DH61" t="e">
        <f>AND(#REF!,"AAAAAC2yvm8=")</f>
        <v>#REF!</v>
      </c>
      <c r="DI61" t="e">
        <f>AND(#REF!,"AAAAAC2yvnA=")</f>
        <v>#REF!</v>
      </c>
      <c r="DJ61" t="e">
        <f>AND(#REF!,"AAAAAC2yvnE=")</f>
        <v>#REF!</v>
      </c>
      <c r="DK61" t="e">
        <f>AND(#REF!,"AAAAAC2yvnI=")</f>
        <v>#REF!</v>
      </c>
      <c r="DL61" t="e">
        <f>AND(#REF!,"AAAAAC2yvnM=")</f>
        <v>#REF!</v>
      </c>
      <c r="DM61" t="e">
        <f>AND(#REF!,"AAAAAC2yvnQ=")</f>
        <v>#REF!</v>
      </c>
      <c r="DN61" t="e">
        <f>AND(#REF!,"AAAAAC2yvnU=")</f>
        <v>#REF!</v>
      </c>
      <c r="DO61" t="e">
        <f>AND(#REF!,"AAAAAC2yvnY=")</f>
        <v>#REF!</v>
      </c>
      <c r="DP61" t="e">
        <f>AND(#REF!,"AAAAAC2yvnc=")</f>
        <v>#REF!</v>
      </c>
      <c r="DQ61" t="e">
        <f>AND(#REF!,"AAAAAC2yvng=")</f>
        <v>#REF!</v>
      </c>
      <c r="DR61" t="e">
        <f>AND(#REF!,"AAAAAC2yvnk=")</f>
        <v>#REF!</v>
      </c>
      <c r="DS61" t="e">
        <f>AND(#REF!,"AAAAAC2yvno=")</f>
        <v>#REF!</v>
      </c>
      <c r="DT61" t="e">
        <f>AND(#REF!,"AAAAAC2yvns=")</f>
        <v>#REF!</v>
      </c>
      <c r="DU61" t="e">
        <f>AND(#REF!,"AAAAAC2yvnw=")</f>
        <v>#REF!</v>
      </c>
      <c r="DV61" t="e">
        <f>AND(#REF!,"AAAAAC2yvn0=")</f>
        <v>#REF!</v>
      </c>
      <c r="DW61" t="e">
        <f>AND(#REF!,"AAAAAC2yvn4=")</f>
        <v>#REF!</v>
      </c>
      <c r="DX61" t="e">
        <f>AND(#REF!,"AAAAAC2yvn8=")</f>
        <v>#REF!</v>
      </c>
      <c r="DY61" t="e">
        <f>AND(#REF!,"AAAAAC2yvoA=")</f>
        <v>#REF!</v>
      </c>
      <c r="DZ61" t="e">
        <f>AND(#REF!,"AAAAAC2yvoE=")</f>
        <v>#REF!</v>
      </c>
      <c r="EA61" t="e">
        <f>AND(#REF!,"AAAAAC2yvoI=")</f>
        <v>#REF!</v>
      </c>
      <c r="EB61" t="e">
        <f>AND(#REF!,"AAAAAC2yvoM=")</f>
        <v>#REF!</v>
      </c>
      <c r="EC61" t="e">
        <f>AND(#REF!,"AAAAAC2yvoQ=")</f>
        <v>#REF!</v>
      </c>
      <c r="ED61" t="e">
        <f>AND(#REF!,"AAAAAC2yvoU=")</f>
        <v>#REF!</v>
      </c>
      <c r="EE61" t="e">
        <f>AND(#REF!,"AAAAAC2yvoY=")</f>
        <v>#REF!</v>
      </c>
      <c r="EF61" t="e">
        <f>AND(#REF!,"AAAAAC2yvoc=")</f>
        <v>#REF!</v>
      </c>
      <c r="EG61" t="e">
        <f>AND(#REF!,"AAAAAC2yvog=")</f>
        <v>#REF!</v>
      </c>
      <c r="EH61" t="e">
        <f>AND(#REF!,"AAAAAC2yvok=")</f>
        <v>#REF!</v>
      </c>
      <c r="EI61" t="e">
        <f>AND(#REF!,"AAAAAC2yvoo=")</f>
        <v>#REF!</v>
      </c>
      <c r="EJ61" t="e">
        <f>AND(#REF!,"AAAAAC2yvos=")</f>
        <v>#REF!</v>
      </c>
      <c r="EK61" t="e">
        <f>AND(#REF!,"AAAAAC2yvow=")</f>
        <v>#REF!</v>
      </c>
      <c r="EL61" t="e">
        <f>AND(#REF!,"AAAAAC2yvo0=")</f>
        <v>#REF!</v>
      </c>
      <c r="EM61" t="e">
        <f>AND(#REF!,"AAAAAC2yvo4=")</f>
        <v>#REF!</v>
      </c>
      <c r="EN61" t="e">
        <f>AND(#REF!,"AAAAAC2yvo8=")</f>
        <v>#REF!</v>
      </c>
      <c r="EO61" t="e">
        <f>AND(#REF!,"AAAAAC2yvpA=")</f>
        <v>#REF!</v>
      </c>
      <c r="EP61" t="e">
        <f>AND(#REF!,"AAAAAC2yvpE=")</f>
        <v>#REF!</v>
      </c>
      <c r="EQ61" t="e">
        <f>AND(#REF!,"AAAAAC2yvpI=")</f>
        <v>#REF!</v>
      </c>
      <c r="ER61" t="e">
        <f>IF(#REF!,"AAAAAC2yvpM=",0)</f>
        <v>#REF!</v>
      </c>
      <c r="ES61" t="e">
        <f>AND(#REF!,"AAAAAC2yvpQ=")</f>
        <v>#REF!</v>
      </c>
      <c r="ET61" t="e">
        <f>AND(#REF!,"AAAAAC2yvpU=")</f>
        <v>#REF!</v>
      </c>
      <c r="EU61" t="e">
        <f>AND(#REF!,"AAAAAC2yvpY=")</f>
        <v>#REF!</v>
      </c>
      <c r="EV61" t="e">
        <f>AND(#REF!,"AAAAAC2yvpc=")</f>
        <v>#REF!</v>
      </c>
      <c r="EW61" t="e">
        <f>AND(#REF!,"AAAAAC2yvpg=")</f>
        <v>#REF!</v>
      </c>
      <c r="EX61" t="e">
        <f>AND(#REF!,"AAAAAC2yvpk=")</f>
        <v>#REF!</v>
      </c>
      <c r="EY61" t="e">
        <f>AND(#REF!,"AAAAAC2yvpo=")</f>
        <v>#REF!</v>
      </c>
      <c r="EZ61" t="e">
        <f>AND(#REF!,"AAAAAC2yvps=")</f>
        <v>#REF!</v>
      </c>
      <c r="FA61" t="e">
        <f>AND(#REF!,"AAAAAC2yvpw=")</f>
        <v>#REF!</v>
      </c>
      <c r="FB61" t="e">
        <f>AND(#REF!,"AAAAAC2yvp0=")</f>
        <v>#REF!</v>
      </c>
      <c r="FC61" t="e">
        <f>AND(#REF!,"AAAAAC2yvp4=")</f>
        <v>#REF!</v>
      </c>
      <c r="FD61" t="e">
        <f>AND(#REF!,"AAAAAC2yvp8=")</f>
        <v>#REF!</v>
      </c>
      <c r="FE61" t="e">
        <f>AND(#REF!,"AAAAAC2yvqA=")</f>
        <v>#REF!</v>
      </c>
      <c r="FF61" t="e">
        <f>AND(#REF!,"AAAAAC2yvqE=")</f>
        <v>#REF!</v>
      </c>
      <c r="FG61" t="e">
        <f>AND(#REF!,"AAAAAC2yvqI=")</f>
        <v>#REF!</v>
      </c>
      <c r="FH61" t="e">
        <f>AND(#REF!,"AAAAAC2yvqM=")</f>
        <v>#REF!</v>
      </c>
      <c r="FI61" t="e">
        <f>AND(#REF!,"AAAAAC2yvqQ=")</f>
        <v>#REF!</v>
      </c>
      <c r="FJ61" t="e">
        <f>AND(#REF!,"AAAAAC2yvqU=")</f>
        <v>#REF!</v>
      </c>
      <c r="FK61" t="e">
        <f>AND(#REF!,"AAAAAC2yvqY=")</f>
        <v>#REF!</v>
      </c>
      <c r="FL61" t="e">
        <f>AND(#REF!,"AAAAAC2yvqc=")</f>
        <v>#REF!</v>
      </c>
      <c r="FM61" t="e">
        <f>AND(#REF!,"AAAAAC2yvqg=")</f>
        <v>#REF!</v>
      </c>
      <c r="FN61" t="e">
        <f>AND(#REF!,"AAAAAC2yvqk=")</f>
        <v>#REF!</v>
      </c>
      <c r="FO61" t="e">
        <f>AND(#REF!,"AAAAAC2yvqo=")</f>
        <v>#REF!</v>
      </c>
      <c r="FP61" t="e">
        <f>AND(#REF!,"AAAAAC2yvqs=")</f>
        <v>#REF!</v>
      </c>
      <c r="FQ61" t="e">
        <f>AND(#REF!,"AAAAAC2yvqw=")</f>
        <v>#REF!</v>
      </c>
      <c r="FR61" t="e">
        <f>AND(#REF!,"AAAAAC2yvq0=")</f>
        <v>#REF!</v>
      </c>
      <c r="FS61" t="e">
        <f>AND(#REF!,"AAAAAC2yvq4=")</f>
        <v>#REF!</v>
      </c>
      <c r="FT61" t="e">
        <f>AND(#REF!,"AAAAAC2yvq8=")</f>
        <v>#REF!</v>
      </c>
      <c r="FU61" t="e">
        <f>AND(#REF!,"AAAAAC2yvrA=")</f>
        <v>#REF!</v>
      </c>
      <c r="FV61" t="e">
        <f>AND(#REF!,"AAAAAC2yvrE=")</f>
        <v>#REF!</v>
      </c>
      <c r="FW61" t="e">
        <f>AND(#REF!,"AAAAAC2yvrI=")</f>
        <v>#REF!</v>
      </c>
      <c r="FX61" t="e">
        <f>AND(#REF!,"AAAAAC2yvrM=")</f>
        <v>#REF!</v>
      </c>
      <c r="FY61" t="e">
        <f>AND(#REF!,"AAAAAC2yvrQ=")</f>
        <v>#REF!</v>
      </c>
      <c r="FZ61" t="e">
        <f>AND(#REF!,"AAAAAC2yvrU=")</f>
        <v>#REF!</v>
      </c>
      <c r="GA61" t="e">
        <f>AND(#REF!,"AAAAAC2yvrY=")</f>
        <v>#REF!</v>
      </c>
      <c r="GB61" t="e">
        <f>AND(#REF!,"AAAAAC2yvrc=")</f>
        <v>#REF!</v>
      </c>
      <c r="GC61" t="e">
        <f>AND(#REF!,"AAAAAC2yvrg=")</f>
        <v>#REF!</v>
      </c>
      <c r="GD61" t="e">
        <f>AND(#REF!,"AAAAAC2yvrk=")</f>
        <v>#REF!</v>
      </c>
      <c r="GE61" t="e">
        <f>AND(#REF!,"AAAAAC2yvro=")</f>
        <v>#REF!</v>
      </c>
      <c r="GF61" t="e">
        <f>AND(#REF!,"AAAAAC2yvrs=")</f>
        <v>#REF!</v>
      </c>
      <c r="GG61" t="e">
        <f>AND(#REF!,"AAAAAC2yvrw=")</f>
        <v>#REF!</v>
      </c>
      <c r="GH61" t="e">
        <f>IF(#REF!,"AAAAAC2yvr0=",0)</f>
        <v>#REF!</v>
      </c>
      <c r="GI61" t="e">
        <f>AND(#REF!,"AAAAAC2yvr4=")</f>
        <v>#REF!</v>
      </c>
      <c r="GJ61" t="e">
        <f>AND(#REF!,"AAAAAC2yvr8=")</f>
        <v>#REF!</v>
      </c>
      <c r="GK61" t="e">
        <f>AND(#REF!,"AAAAAC2yvsA=")</f>
        <v>#REF!</v>
      </c>
      <c r="GL61" t="e">
        <f>AND(#REF!,"AAAAAC2yvsE=")</f>
        <v>#REF!</v>
      </c>
      <c r="GM61" t="e">
        <f>AND(#REF!,"AAAAAC2yvsI=")</f>
        <v>#REF!</v>
      </c>
      <c r="GN61" t="e">
        <f>AND(#REF!,"AAAAAC2yvsM=")</f>
        <v>#REF!</v>
      </c>
      <c r="GO61" t="e">
        <f>AND(#REF!,"AAAAAC2yvsQ=")</f>
        <v>#REF!</v>
      </c>
      <c r="GP61" t="e">
        <f>AND(#REF!,"AAAAAC2yvsU=")</f>
        <v>#REF!</v>
      </c>
      <c r="GQ61" t="e">
        <f>AND(#REF!,"AAAAAC2yvsY=")</f>
        <v>#REF!</v>
      </c>
      <c r="GR61" t="e">
        <f>AND(#REF!,"AAAAAC2yvsc=")</f>
        <v>#REF!</v>
      </c>
      <c r="GS61" t="e">
        <f>AND(#REF!,"AAAAAC2yvsg=")</f>
        <v>#REF!</v>
      </c>
      <c r="GT61" t="e">
        <f>AND(#REF!,"AAAAAC2yvsk=")</f>
        <v>#REF!</v>
      </c>
      <c r="GU61" t="e">
        <f>AND(#REF!,"AAAAAC2yvso=")</f>
        <v>#REF!</v>
      </c>
      <c r="GV61" t="e">
        <f>AND(#REF!,"AAAAAC2yvss=")</f>
        <v>#REF!</v>
      </c>
      <c r="GW61" t="e">
        <f>AND(#REF!,"AAAAAC2yvsw=")</f>
        <v>#REF!</v>
      </c>
      <c r="GX61" t="e">
        <f>AND(#REF!,"AAAAAC2yvs0=")</f>
        <v>#REF!</v>
      </c>
      <c r="GY61" t="e">
        <f>AND(#REF!,"AAAAAC2yvs4=")</f>
        <v>#REF!</v>
      </c>
      <c r="GZ61" t="e">
        <f>AND(#REF!,"AAAAAC2yvs8=")</f>
        <v>#REF!</v>
      </c>
      <c r="HA61" t="e">
        <f>AND(#REF!,"AAAAAC2yvtA=")</f>
        <v>#REF!</v>
      </c>
      <c r="HB61" t="e">
        <f>AND(#REF!,"AAAAAC2yvtE=")</f>
        <v>#REF!</v>
      </c>
      <c r="HC61" t="e">
        <f>AND(#REF!,"AAAAAC2yvtI=")</f>
        <v>#REF!</v>
      </c>
      <c r="HD61" t="e">
        <f>AND(#REF!,"AAAAAC2yvtM=")</f>
        <v>#REF!</v>
      </c>
      <c r="HE61" t="e">
        <f>AND(#REF!,"AAAAAC2yvtQ=")</f>
        <v>#REF!</v>
      </c>
      <c r="HF61" t="e">
        <f>AND(#REF!,"AAAAAC2yvtU=")</f>
        <v>#REF!</v>
      </c>
      <c r="HG61" t="e">
        <f>AND(#REF!,"AAAAAC2yvtY=")</f>
        <v>#REF!</v>
      </c>
      <c r="HH61" t="e">
        <f>AND(#REF!,"AAAAAC2yvtc=")</f>
        <v>#REF!</v>
      </c>
      <c r="HI61" t="e">
        <f>AND(#REF!,"AAAAAC2yvtg=")</f>
        <v>#REF!</v>
      </c>
      <c r="HJ61" t="e">
        <f>AND(#REF!,"AAAAAC2yvtk=")</f>
        <v>#REF!</v>
      </c>
      <c r="HK61" t="e">
        <f>AND(#REF!,"AAAAAC2yvto=")</f>
        <v>#REF!</v>
      </c>
      <c r="HL61" t="e">
        <f>AND(#REF!,"AAAAAC2yvts=")</f>
        <v>#REF!</v>
      </c>
      <c r="HM61" t="e">
        <f>AND(#REF!,"AAAAAC2yvtw=")</f>
        <v>#REF!</v>
      </c>
      <c r="HN61" t="e">
        <f>AND(#REF!,"AAAAAC2yvt0=")</f>
        <v>#REF!</v>
      </c>
      <c r="HO61" t="e">
        <f>AND(#REF!,"AAAAAC2yvt4=")</f>
        <v>#REF!</v>
      </c>
      <c r="HP61" t="e">
        <f>AND(#REF!,"AAAAAC2yvt8=")</f>
        <v>#REF!</v>
      </c>
      <c r="HQ61" t="e">
        <f>AND(#REF!,"AAAAAC2yvuA=")</f>
        <v>#REF!</v>
      </c>
      <c r="HR61" t="e">
        <f>AND(#REF!,"AAAAAC2yvuE=")</f>
        <v>#REF!</v>
      </c>
      <c r="HS61" t="e">
        <f>AND(#REF!,"AAAAAC2yvuI=")</f>
        <v>#REF!</v>
      </c>
      <c r="HT61" t="e">
        <f>AND(#REF!,"AAAAAC2yvuM=")</f>
        <v>#REF!</v>
      </c>
      <c r="HU61" t="e">
        <f>AND(#REF!,"AAAAAC2yvuQ=")</f>
        <v>#REF!</v>
      </c>
      <c r="HV61" t="e">
        <f>AND(#REF!,"AAAAAC2yvuU=")</f>
        <v>#REF!</v>
      </c>
      <c r="HW61" t="e">
        <f>AND(#REF!,"AAAAAC2yvuY=")</f>
        <v>#REF!</v>
      </c>
      <c r="HX61" t="e">
        <f>IF(#REF!,"AAAAAC2yvuc=",0)</f>
        <v>#REF!</v>
      </c>
      <c r="HY61" t="e">
        <f>AND(#REF!,"AAAAAC2yvug=")</f>
        <v>#REF!</v>
      </c>
      <c r="HZ61" t="e">
        <f>AND(#REF!,"AAAAAC2yvuk=")</f>
        <v>#REF!</v>
      </c>
      <c r="IA61" t="e">
        <f>AND(#REF!,"AAAAAC2yvuo=")</f>
        <v>#REF!</v>
      </c>
      <c r="IB61" t="e">
        <f>AND(#REF!,"AAAAAC2yvus=")</f>
        <v>#REF!</v>
      </c>
      <c r="IC61" t="e">
        <f>AND(#REF!,"AAAAAC2yvuw=")</f>
        <v>#REF!</v>
      </c>
      <c r="ID61" t="e">
        <f>AND(#REF!,"AAAAAC2yvu0=")</f>
        <v>#REF!</v>
      </c>
      <c r="IE61" t="e">
        <f>AND(#REF!,"AAAAAC2yvu4=")</f>
        <v>#REF!</v>
      </c>
      <c r="IF61" t="e">
        <f>AND(#REF!,"AAAAAC2yvu8=")</f>
        <v>#REF!</v>
      </c>
      <c r="IG61" t="e">
        <f>AND(#REF!,"AAAAAC2yvvA=")</f>
        <v>#REF!</v>
      </c>
      <c r="IH61" t="e">
        <f>AND(#REF!,"AAAAAC2yvvE=")</f>
        <v>#REF!</v>
      </c>
      <c r="II61" t="e">
        <f>AND(#REF!,"AAAAAC2yvvI=")</f>
        <v>#REF!</v>
      </c>
      <c r="IJ61" t="e">
        <f>AND(#REF!,"AAAAAC2yvvM=")</f>
        <v>#REF!</v>
      </c>
      <c r="IK61" t="e">
        <f>AND(#REF!,"AAAAAC2yvvQ=")</f>
        <v>#REF!</v>
      </c>
      <c r="IL61" t="e">
        <f>AND(#REF!,"AAAAAC2yvvU=")</f>
        <v>#REF!</v>
      </c>
      <c r="IM61" t="e">
        <f>AND(#REF!,"AAAAAC2yvvY=")</f>
        <v>#REF!</v>
      </c>
      <c r="IN61" t="e">
        <f>AND(#REF!,"AAAAAC2yvvc=")</f>
        <v>#REF!</v>
      </c>
      <c r="IO61" t="e">
        <f>AND(#REF!,"AAAAAC2yvvg=")</f>
        <v>#REF!</v>
      </c>
      <c r="IP61" t="e">
        <f>AND(#REF!,"AAAAAC2yvvk=")</f>
        <v>#REF!</v>
      </c>
      <c r="IQ61" t="e">
        <f>AND(#REF!,"AAAAAC2yvvo=")</f>
        <v>#REF!</v>
      </c>
      <c r="IR61" t="e">
        <f>AND(#REF!,"AAAAAC2yvvs=")</f>
        <v>#REF!</v>
      </c>
      <c r="IS61" t="e">
        <f>AND(#REF!,"AAAAAC2yvvw=")</f>
        <v>#REF!</v>
      </c>
      <c r="IT61" t="e">
        <f>AND(#REF!,"AAAAAC2yvv0=")</f>
        <v>#REF!</v>
      </c>
      <c r="IU61" t="e">
        <f>AND(#REF!,"AAAAAC2yvv4=")</f>
        <v>#REF!</v>
      </c>
      <c r="IV61" t="e">
        <f>AND(#REF!,"AAAAAC2yvv8=")</f>
        <v>#REF!</v>
      </c>
    </row>
    <row r="62" spans="1:256">
      <c r="A62" t="e">
        <f>AND(#REF!,"AAAAAH77twA=")</f>
        <v>#REF!</v>
      </c>
      <c r="B62" t="e">
        <f>AND(#REF!,"AAAAAH77twE=")</f>
        <v>#REF!</v>
      </c>
      <c r="C62" t="e">
        <f>AND(#REF!,"AAAAAH77twI=")</f>
        <v>#REF!</v>
      </c>
      <c r="D62" t="e">
        <f>AND(#REF!,"AAAAAH77twM=")</f>
        <v>#REF!</v>
      </c>
      <c r="E62" t="e">
        <f>AND(#REF!,"AAAAAH77twQ=")</f>
        <v>#REF!</v>
      </c>
      <c r="F62" t="e">
        <f>AND(#REF!,"AAAAAH77twU=")</f>
        <v>#REF!</v>
      </c>
      <c r="G62" t="e">
        <f>AND(#REF!,"AAAAAH77twY=")</f>
        <v>#REF!</v>
      </c>
      <c r="H62" t="e">
        <f>AND(#REF!,"AAAAAH77twc=")</f>
        <v>#REF!</v>
      </c>
      <c r="I62" t="e">
        <f>AND(#REF!,"AAAAAH77twg=")</f>
        <v>#REF!</v>
      </c>
      <c r="J62" t="e">
        <f>AND(#REF!,"AAAAAH77twk=")</f>
        <v>#REF!</v>
      </c>
      <c r="K62" t="e">
        <f>AND(#REF!,"AAAAAH77two=")</f>
        <v>#REF!</v>
      </c>
      <c r="L62" t="e">
        <f>AND(#REF!,"AAAAAH77tws=")</f>
        <v>#REF!</v>
      </c>
      <c r="M62" t="e">
        <f>AND(#REF!,"AAAAAH77tww=")</f>
        <v>#REF!</v>
      </c>
      <c r="N62" t="e">
        <f>AND(#REF!,"AAAAAH77tw0=")</f>
        <v>#REF!</v>
      </c>
      <c r="O62" t="e">
        <f>AND(#REF!,"AAAAAH77tw4=")</f>
        <v>#REF!</v>
      </c>
      <c r="P62" t="e">
        <f>AND(#REF!,"AAAAAH77tw8=")</f>
        <v>#REF!</v>
      </c>
      <c r="Q62" t="e">
        <f>AND(#REF!,"AAAAAH77txA=")</f>
        <v>#REF!</v>
      </c>
      <c r="R62" t="e">
        <f>IF(#REF!,"AAAAAH77txE=",0)</f>
        <v>#REF!</v>
      </c>
      <c r="S62" t="e">
        <f>AND(#REF!,"AAAAAH77txI=")</f>
        <v>#REF!</v>
      </c>
      <c r="T62" t="e">
        <f>AND(#REF!,"AAAAAH77txM=")</f>
        <v>#REF!</v>
      </c>
      <c r="U62" t="e">
        <f>AND(#REF!,"AAAAAH77txQ=")</f>
        <v>#REF!</v>
      </c>
      <c r="V62" t="e">
        <f>AND(#REF!,"AAAAAH77txU=")</f>
        <v>#REF!</v>
      </c>
      <c r="W62" t="e">
        <f>AND(#REF!,"AAAAAH77txY=")</f>
        <v>#REF!</v>
      </c>
      <c r="X62" t="e">
        <f>AND(#REF!,"AAAAAH77txc=")</f>
        <v>#REF!</v>
      </c>
      <c r="Y62" t="e">
        <f>AND(#REF!,"AAAAAH77txg=")</f>
        <v>#REF!</v>
      </c>
      <c r="Z62" t="e">
        <f>AND(#REF!,"AAAAAH77txk=")</f>
        <v>#REF!</v>
      </c>
      <c r="AA62" t="e">
        <f>AND(#REF!,"AAAAAH77txo=")</f>
        <v>#REF!</v>
      </c>
      <c r="AB62" t="e">
        <f>AND(#REF!,"AAAAAH77txs=")</f>
        <v>#REF!</v>
      </c>
      <c r="AC62" t="e">
        <f>AND(#REF!,"AAAAAH77txw=")</f>
        <v>#REF!</v>
      </c>
      <c r="AD62" t="e">
        <f>AND(#REF!,"AAAAAH77tx0=")</f>
        <v>#REF!</v>
      </c>
      <c r="AE62" t="e">
        <f>AND(#REF!,"AAAAAH77tx4=")</f>
        <v>#REF!</v>
      </c>
      <c r="AF62" t="e">
        <f>AND(#REF!,"AAAAAH77tx8=")</f>
        <v>#REF!</v>
      </c>
      <c r="AG62" t="e">
        <f>AND(#REF!,"AAAAAH77tyA=")</f>
        <v>#REF!</v>
      </c>
      <c r="AH62" t="e">
        <f>AND(#REF!,"AAAAAH77tyE=")</f>
        <v>#REF!</v>
      </c>
      <c r="AI62" t="e">
        <f>AND(#REF!,"AAAAAH77tyI=")</f>
        <v>#REF!</v>
      </c>
      <c r="AJ62" t="e">
        <f>AND(#REF!,"AAAAAH77tyM=")</f>
        <v>#REF!</v>
      </c>
      <c r="AK62" t="e">
        <f>AND(#REF!,"AAAAAH77tyQ=")</f>
        <v>#REF!</v>
      </c>
      <c r="AL62" t="e">
        <f>AND(#REF!,"AAAAAH77tyU=")</f>
        <v>#REF!</v>
      </c>
      <c r="AM62" t="e">
        <f>AND(#REF!,"AAAAAH77tyY=")</f>
        <v>#REF!</v>
      </c>
      <c r="AN62" t="e">
        <f>AND(#REF!,"AAAAAH77tyc=")</f>
        <v>#REF!</v>
      </c>
      <c r="AO62" t="e">
        <f>AND(#REF!,"AAAAAH77tyg=")</f>
        <v>#REF!</v>
      </c>
      <c r="AP62" t="e">
        <f>AND(#REF!,"AAAAAH77tyk=")</f>
        <v>#REF!</v>
      </c>
      <c r="AQ62" t="e">
        <f>AND(#REF!,"AAAAAH77tyo=")</f>
        <v>#REF!</v>
      </c>
      <c r="AR62" t="e">
        <f>AND(#REF!,"AAAAAH77tys=")</f>
        <v>#REF!</v>
      </c>
      <c r="AS62" t="e">
        <f>AND(#REF!,"AAAAAH77tyw=")</f>
        <v>#REF!</v>
      </c>
      <c r="AT62" t="e">
        <f>AND(#REF!,"AAAAAH77ty0=")</f>
        <v>#REF!</v>
      </c>
      <c r="AU62" t="e">
        <f>AND(#REF!,"AAAAAH77ty4=")</f>
        <v>#REF!</v>
      </c>
      <c r="AV62" t="e">
        <f>AND(#REF!,"AAAAAH77ty8=")</f>
        <v>#REF!</v>
      </c>
      <c r="AW62" t="e">
        <f>AND(#REF!,"AAAAAH77tzA=")</f>
        <v>#REF!</v>
      </c>
      <c r="AX62" t="e">
        <f>AND(#REF!,"AAAAAH77tzE=")</f>
        <v>#REF!</v>
      </c>
      <c r="AY62" t="e">
        <f>AND(#REF!,"AAAAAH77tzI=")</f>
        <v>#REF!</v>
      </c>
      <c r="AZ62" t="e">
        <f>AND(#REF!,"AAAAAH77tzM=")</f>
        <v>#REF!</v>
      </c>
      <c r="BA62" t="e">
        <f>AND(#REF!,"AAAAAH77tzQ=")</f>
        <v>#REF!</v>
      </c>
      <c r="BB62" t="e">
        <f>AND(#REF!,"AAAAAH77tzU=")</f>
        <v>#REF!</v>
      </c>
      <c r="BC62" t="e">
        <f>AND(#REF!,"AAAAAH77tzY=")</f>
        <v>#REF!</v>
      </c>
      <c r="BD62" t="e">
        <f>AND(#REF!,"AAAAAH77tzc=")</f>
        <v>#REF!</v>
      </c>
      <c r="BE62" t="e">
        <f>AND(#REF!,"AAAAAH77tzg=")</f>
        <v>#REF!</v>
      </c>
      <c r="BF62" t="e">
        <f>AND(#REF!,"AAAAAH77tzk=")</f>
        <v>#REF!</v>
      </c>
      <c r="BG62" t="e">
        <f>AND(#REF!,"AAAAAH77tzo=")</f>
        <v>#REF!</v>
      </c>
      <c r="BH62" t="e">
        <f>IF(#REF!,"AAAAAH77tzs=",0)</f>
        <v>#REF!</v>
      </c>
      <c r="BI62" t="e">
        <f>AND(#REF!,"AAAAAH77tzw=")</f>
        <v>#REF!</v>
      </c>
      <c r="BJ62" t="e">
        <f>AND(#REF!,"AAAAAH77tz0=")</f>
        <v>#REF!</v>
      </c>
      <c r="BK62" t="e">
        <f>AND(#REF!,"AAAAAH77tz4=")</f>
        <v>#REF!</v>
      </c>
      <c r="BL62" t="e">
        <f>AND(#REF!,"AAAAAH77tz8=")</f>
        <v>#REF!</v>
      </c>
      <c r="BM62" t="e">
        <f>AND(#REF!,"AAAAAH77t0A=")</f>
        <v>#REF!</v>
      </c>
      <c r="BN62" t="e">
        <f>AND(#REF!,"AAAAAH77t0E=")</f>
        <v>#REF!</v>
      </c>
      <c r="BO62" t="e">
        <f>AND(#REF!,"AAAAAH77t0I=")</f>
        <v>#REF!</v>
      </c>
      <c r="BP62" t="e">
        <f>AND(#REF!,"AAAAAH77t0M=")</f>
        <v>#REF!</v>
      </c>
      <c r="BQ62" t="e">
        <f>AND(#REF!,"AAAAAH77t0Q=")</f>
        <v>#REF!</v>
      </c>
      <c r="BR62" t="e">
        <f>AND(#REF!,"AAAAAH77t0U=")</f>
        <v>#REF!</v>
      </c>
      <c r="BS62" t="e">
        <f>AND(#REF!,"AAAAAH77t0Y=")</f>
        <v>#REF!</v>
      </c>
      <c r="BT62" t="e">
        <f>AND(#REF!,"AAAAAH77t0c=")</f>
        <v>#REF!</v>
      </c>
      <c r="BU62" t="e">
        <f>AND(#REF!,"AAAAAH77t0g=")</f>
        <v>#REF!</v>
      </c>
      <c r="BV62" t="e">
        <f>AND(#REF!,"AAAAAH77t0k=")</f>
        <v>#REF!</v>
      </c>
      <c r="BW62" t="e">
        <f>AND(#REF!,"AAAAAH77t0o=")</f>
        <v>#REF!</v>
      </c>
      <c r="BX62" t="e">
        <f>AND(#REF!,"AAAAAH77t0s=")</f>
        <v>#REF!</v>
      </c>
      <c r="BY62" t="e">
        <f>AND(#REF!,"AAAAAH77t0w=")</f>
        <v>#REF!</v>
      </c>
      <c r="BZ62" t="e">
        <f>AND(#REF!,"AAAAAH77t00=")</f>
        <v>#REF!</v>
      </c>
      <c r="CA62" t="e">
        <f>AND(#REF!,"AAAAAH77t04=")</f>
        <v>#REF!</v>
      </c>
      <c r="CB62" t="e">
        <f>AND(#REF!,"AAAAAH77t08=")</f>
        <v>#REF!</v>
      </c>
      <c r="CC62" t="e">
        <f>AND(#REF!,"AAAAAH77t1A=")</f>
        <v>#REF!</v>
      </c>
      <c r="CD62" t="e">
        <f>AND(#REF!,"AAAAAH77t1E=")</f>
        <v>#REF!</v>
      </c>
      <c r="CE62" t="e">
        <f>AND(#REF!,"AAAAAH77t1I=")</f>
        <v>#REF!</v>
      </c>
      <c r="CF62" t="e">
        <f>AND(#REF!,"AAAAAH77t1M=")</f>
        <v>#REF!</v>
      </c>
      <c r="CG62" t="e">
        <f>AND(#REF!,"AAAAAH77t1Q=")</f>
        <v>#REF!</v>
      </c>
      <c r="CH62" t="e">
        <f>AND(#REF!,"AAAAAH77t1U=")</f>
        <v>#REF!</v>
      </c>
      <c r="CI62" t="e">
        <f>AND(#REF!,"AAAAAH77t1Y=")</f>
        <v>#REF!</v>
      </c>
      <c r="CJ62" t="e">
        <f>AND(#REF!,"AAAAAH77t1c=")</f>
        <v>#REF!</v>
      </c>
      <c r="CK62" t="e">
        <f>AND(#REF!,"AAAAAH77t1g=")</f>
        <v>#REF!</v>
      </c>
      <c r="CL62" t="e">
        <f>AND(#REF!,"AAAAAH77t1k=")</f>
        <v>#REF!</v>
      </c>
      <c r="CM62" t="e">
        <f>AND(#REF!,"AAAAAH77t1o=")</f>
        <v>#REF!</v>
      </c>
      <c r="CN62" t="e">
        <f>AND(#REF!,"AAAAAH77t1s=")</f>
        <v>#REF!</v>
      </c>
      <c r="CO62" t="e">
        <f>AND(#REF!,"AAAAAH77t1w=")</f>
        <v>#REF!</v>
      </c>
      <c r="CP62" t="e">
        <f>AND(#REF!,"AAAAAH77t10=")</f>
        <v>#REF!</v>
      </c>
      <c r="CQ62" t="e">
        <f>AND(#REF!,"AAAAAH77t14=")</f>
        <v>#REF!</v>
      </c>
      <c r="CR62" t="e">
        <f>AND(#REF!,"AAAAAH77t18=")</f>
        <v>#REF!</v>
      </c>
      <c r="CS62" t="e">
        <f>AND(#REF!,"AAAAAH77t2A=")</f>
        <v>#REF!</v>
      </c>
      <c r="CT62" t="e">
        <f>AND(#REF!,"AAAAAH77t2E=")</f>
        <v>#REF!</v>
      </c>
      <c r="CU62" t="e">
        <f>AND(#REF!,"AAAAAH77t2I=")</f>
        <v>#REF!</v>
      </c>
      <c r="CV62" t="e">
        <f>AND(#REF!,"AAAAAH77t2M=")</f>
        <v>#REF!</v>
      </c>
      <c r="CW62" t="e">
        <f>AND(#REF!,"AAAAAH77t2Q=")</f>
        <v>#REF!</v>
      </c>
      <c r="CX62" t="e">
        <f>IF(#REF!,"AAAAAH77t2U=",0)</f>
        <v>#REF!</v>
      </c>
      <c r="CY62" t="e">
        <f>AND(#REF!,"AAAAAH77t2Y=")</f>
        <v>#REF!</v>
      </c>
      <c r="CZ62" t="e">
        <f>AND(#REF!,"AAAAAH77t2c=")</f>
        <v>#REF!</v>
      </c>
      <c r="DA62" t="e">
        <f>AND(#REF!,"AAAAAH77t2g=")</f>
        <v>#REF!</v>
      </c>
      <c r="DB62" t="e">
        <f>AND(#REF!,"AAAAAH77t2k=")</f>
        <v>#REF!</v>
      </c>
      <c r="DC62" t="e">
        <f>AND(#REF!,"AAAAAH77t2o=")</f>
        <v>#REF!</v>
      </c>
      <c r="DD62" t="e">
        <f>AND(#REF!,"AAAAAH77t2s=")</f>
        <v>#REF!</v>
      </c>
      <c r="DE62" t="e">
        <f>AND(#REF!,"AAAAAH77t2w=")</f>
        <v>#REF!</v>
      </c>
      <c r="DF62" t="e">
        <f>AND(#REF!,"AAAAAH77t20=")</f>
        <v>#REF!</v>
      </c>
      <c r="DG62" t="e">
        <f>AND(#REF!,"AAAAAH77t24=")</f>
        <v>#REF!</v>
      </c>
      <c r="DH62" t="e">
        <f>AND(#REF!,"AAAAAH77t28=")</f>
        <v>#REF!</v>
      </c>
      <c r="DI62" t="e">
        <f>AND(#REF!,"AAAAAH77t3A=")</f>
        <v>#REF!</v>
      </c>
      <c r="DJ62" t="e">
        <f>AND(#REF!,"AAAAAH77t3E=")</f>
        <v>#REF!</v>
      </c>
      <c r="DK62" t="e">
        <f>AND(#REF!,"AAAAAH77t3I=")</f>
        <v>#REF!</v>
      </c>
      <c r="DL62" t="e">
        <f>AND(#REF!,"AAAAAH77t3M=")</f>
        <v>#REF!</v>
      </c>
      <c r="DM62" t="e">
        <f>AND(#REF!,"AAAAAH77t3Q=")</f>
        <v>#REF!</v>
      </c>
      <c r="DN62" t="e">
        <f>AND(#REF!,"AAAAAH77t3U=")</f>
        <v>#REF!</v>
      </c>
      <c r="DO62" t="e">
        <f>AND(#REF!,"AAAAAH77t3Y=")</f>
        <v>#REF!</v>
      </c>
      <c r="DP62" t="e">
        <f>AND(#REF!,"AAAAAH77t3c=")</f>
        <v>#REF!</v>
      </c>
      <c r="DQ62" t="e">
        <f>AND(#REF!,"AAAAAH77t3g=")</f>
        <v>#REF!</v>
      </c>
      <c r="DR62" t="e">
        <f>AND(#REF!,"AAAAAH77t3k=")</f>
        <v>#REF!</v>
      </c>
      <c r="DS62" t="e">
        <f>AND(#REF!,"AAAAAH77t3o=")</f>
        <v>#REF!</v>
      </c>
      <c r="DT62" t="e">
        <f>AND(#REF!,"AAAAAH77t3s=")</f>
        <v>#REF!</v>
      </c>
      <c r="DU62" t="e">
        <f>AND(#REF!,"AAAAAH77t3w=")</f>
        <v>#REF!</v>
      </c>
      <c r="DV62" t="e">
        <f>AND(#REF!,"AAAAAH77t30=")</f>
        <v>#REF!</v>
      </c>
      <c r="DW62" t="e">
        <f>AND(#REF!,"AAAAAH77t34=")</f>
        <v>#REF!</v>
      </c>
      <c r="DX62" t="e">
        <f>AND(#REF!,"AAAAAH77t38=")</f>
        <v>#REF!</v>
      </c>
      <c r="DY62" t="e">
        <f>AND(#REF!,"AAAAAH77t4A=")</f>
        <v>#REF!</v>
      </c>
      <c r="DZ62" t="e">
        <f>AND(#REF!,"AAAAAH77t4E=")</f>
        <v>#REF!</v>
      </c>
      <c r="EA62" t="e">
        <f>AND(#REF!,"AAAAAH77t4I=")</f>
        <v>#REF!</v>
      </c>
      <c r="EB62" t="e">
        <f>AND(#REF!,"AAAAAH77t4M=")</f>
        <v>#REF!</v>
      </c>
      <c r="EC62" t="e">
        <f>AND(#REF!,"AAAAAH77t4Q=")</f>
        <v>#REF!</v>
      </c>
      <c r="ED62" t="e">
        <f>AND(#REF!,"AAAAAH77t4U=")</f>
        <v>#REF!</v>
      </c>
      <c r="EE62" t="e">
        <f>AND(#REF!,"AAAAAH77t4Y=")</f>
        <v>#REF!</v>
      </c>
      <c r="EF62" t="e">
        <f>AND(#REF!,"AAAAAH77t4c=")</f>
        <v>#REF!</v>
      </c>
      <c r="EG62" t="e">
        <f>AND(#REF!,"AAAAAH77t4g=")</f>
        <v>#REF!</v>
      </c>
      <c r="EH62" t="e">
        <f>AND(#REF!,"AAAAAH77t4k=")</f>
        <v>#REF!</v>
      </c>
      <c r="EI62" t="e">
        <f>AND(#REF!,"AAAAAH77t4o=")</f>
        <v>#REF!</v>
      </c>
      <c r="EJ62" t="e">
        <f>AND(#REF!,"AAAAAH77t4s=")</f>
        <v>#REF!</v>
      </c>
      <c r="EK62" t="e">
        <f>AND(#REF!,"AAAAAH77t4w=")</f>
        <v>#REF!</v>
      </c>
      <c r="EL62" t="e">
        <f>AND(#REF!,"AAAAAH77t40=")</f>
        <v>#REF!</v>
      </c>
      <c r="EM62" t="e">
        <f>AND(#REF!,"AAAAAH77t44=")</f>
        <v>#REF!</v>
      </c>
      <c r="EN62" t="e">
        <f>IF(#REF!,"AAAAAH77t48=",0)</f>
        <v>#REF!</v>
      </c>
      <c r="EO62" t="e">
        <f>AND(#REF!,"AAAAAH77t5A=")</f>
        <v>#REF!</v>
      </c>
      <c r="EP62" t="e">
        <f>AND(#REF!,"AAAAAH77t5E=")</f>
        <v>#REF!</v>
      </c>
      <c r="EQ62" t="e">
        <f>AND(#REF!,"AAAAAH77t5I=")</f>
        <v>#REF!</v>
      </c>
      <c r="ER62" t="e">
        <f>AND(#REF!,"AAAAAH77t5M=")</f>
        <v>#REF!</v>
      </c>
      <c r="ES62" t="e">
        <f>AND(#REF!,"AAAAAH77t5Q=")</f>
        <v>#REF!</v>
      </c>
      <c r="ET62" t="e">
        <f>AND(#REF!,"AAAAAH77t5U=")</f>
        <v>#REF!</v>
      </c>
      <c r="EU62" t="e">
        <f>AND(#REF!,"AAAAAH77t5Y=")</f>
        <v>#REF!</v>
      </c>
      <c r="EV62" t="e">
        <f>AND(#REF!,"AAAAAH77t5c=")</f>
        <v>#REF!</v>
      </c>
      <c r="EW62" t="e">
        <f>AND(#REF!,"AAAAAH77t5g=")</f>
        <v>#REF!</v>
      </c>
      <c r="EX62" t="e">
        <f>AND(#REF!,"AAAAAH77t5k=")</f>
        <v>#REF!</v>
      </c>
      <c r="EY62" t="e">
        <f>AND(#REF!,"AAAAAH77t5o=")</f>
        <v>#REF!</v>
      </c>
      <c r="EZ62" t="e">
        <f>AND(#REF!,"AAAAAH77t5s=")</f>
        <v>#REF!</v>
      </c>
      <c r="FA62" t="e">
        <f>AND(#REF!,"AAAAAH77t5w=")</f>
        <v>#REF!</v>
      </c>
      <c r="FB62" t="e">
        <f>AND(#REF!,"AAAAAH77t50=")</f>
        <v>#REF!</v>
      </c>
      <c r="FC62" t="e">
        <f>AND(#REF!,"AAAAAH77t54=")</f>
        <v>#REF!</v>
      </c>
      <c r="FD62" t="e">
        <f>AND(#REF!,"AAAAAH77t58=")</f>
        <v>#REF!</v>
      </c>
      <c r="FE62" t="e">
        <f>AND(#REF!,"AAAAAH77t6A=")</f>
        <v>#REF!</v>
      </c>
      <c r="FF62" t="e">
        <f>AND(#REF!,"AAAAAH77t6E=")</f>
        <v>#REF!</v>
      </c>
      <c r="FG62" t="e">
        <f>AND(#REF!,"AAAAAH77t6I=")</f>
        <v>#REF!</v>
      </c>
      <c r="FH62" t="e">
        <f>AND(#REF!,"AAAAAH77t6M=")</f>
        <v>#REF!</v>
      </c>
      <c r="FI62" t="e">
        <f>AND(#REF!,"AAAAAH77t6Q=")</f>
        <v>#REF!</v>
      </c>
      <c r="FJ62" t="e">
        <f>AND(#REF!,"AAAAAH77t6U=")</f>
        <v>#REF!</v>
      </c>
      <c r="FK62" t="e">
        <f>AND(#REF!,"AAAAAH77t6Y=")</f>
        <v>#REF!</v>
      </c>
      <c r="FL62" t="e">
        <f>AND(#REF!,"AAAAAH77t6c=")</f>
        <v>#REF!</v>
      </c>
      <c r="FM62" t="e">
        <f>AND(#REF!,"AAAAAH77t6g=")</f>
        <v>#REF!</v>
      </c>
      <c r="FN62" t="e">
        <f>AND(#REF!,"AAAAAH77t6k=")</f>
        <v>#REF!</v>
      </c>
      <c r="FO62" t="e">
        <f>AND(#REF!,"AAAAAH77t6o=")</f>
        <v>#REF!</v>
      </c>
      <c r="FP62" t="e">
        <f>AND(#REF!,"AAAAAH77t6s=")</f>
        <v>#REF!</v>
      </c>
      <c r="FQ62" t="e">
        <f>AND(#REF!,"AAAAAH77t6w=")</f>
        <v>#REF!</v>
      </c>
      <c r="FR62" t="e">
        <f>AND(#REF!,"AAAAAH77t60=")</f>
        <v>#REF!</v>
      </c>
      <c r="FS62" t="e">
        <f>AND(#REF!,"AAAAAH77t64=")</f>
        <v>#REF!</v>
      </c>
      <c r="FT62" t="e">
        <f>AND(#REF!,"AAAAAH77t68=")</f>
        <v>#REF!</v>
      </c>
      <c r="FU62" t="e">
        <f>AND(#REF!,"AAAAAH77t7A=")</f>
        <v>#REF!</v>
      </c>
      <c r="FV62" t="e">
        <f>AND(#REF!,"AAAAAH77t7E=")</f>
        <v>#REF!</v>
      </c>
      <c r="FW62" t="e">
        <f>AND(#REF!,"AAAAAH77t7I=")</f>
        <v>#REF!</v>
      </c>
      <c r="FX62" t="e">
        <f>AND(#REF!,"AAAAAH77t7M=")</f>
        <v>#REF!</v>
      </c>
      <c r="FY62" t="e">
        <f>AND(#REF!,"AAAAAH77t7Q=")</f>
        <v>#REF!</v>
      </c>
      <c r="FZ62" t="e">
        <f>AND(#REF!,"AAAAAH77t7U=")</f>
        <v>#REF!</v>
      </c>
      <c r="GA62" t="e">
        <f>AND(#REF!,"AAAAAH77t7Y=")</f>
        <v>#REF!</v>
      </c>
      <c r="GB62" t="e">
        <f>AND(#REF!,"AAAAAH77t7c=")</f>
        <v>#REF!</v>
      </c>
      <c r="GC62" t="e">
        <f>AND(#REF!,"AAAAAH77t7g=")</f>
        <v>#REF!</v>
      </c>
      <c r="GD62" t="e">
        <f>IF(#REF!,"AAAAAH77t7k=",0)</f>
        <v>#REF!</v>
      </c>
      <c r="GE62" t="e">
        <f>AND(#REF!,"AAAAAH77t7o=")</f>
        <v>#REF!</v>
      </c>
      <c r="GF62" t="e">
        <f>AND(#REF!,"AAAAAH77t7s=")</f>
        <v>#REF!</v>
      </c>
      <c r="GG62" t="e">
        <f>AND(#REF!,"AAAAAH77t7w=")</f>
        <v>#REF!</v>
      </c>
      <c r="GH62" t="e">
        <f>AND(#REF!,"AAAAAH77t70=")</f>
        <v>#REF!</v>
      </c>
      <c r="GI62" t="e">
        <f>AND(#REF!,"AAAAAH77t74=")</f>
        <v>#REF!</v>
      </c>
      <c r="GJ62" t="e">
        <f>AND(#REF!,"AAAAAH77t78=")</f>
        <v>#REF!</v>
      </c>
      <c r="GK62" t="e">
        <f>AND(#REF!,"AAAAAH77t8A=")</f>
        <v>#REF!</v>
      </c>
      <c r="GL62" t="e">
        <f>AND(#REF!,"AAAAAH77t8E=")</f>
        <v>#REF!</v>
      </c>
      <c r="GM62" t="e">
        <f>AND(#REF!,"AAAAAH77t8I=")</f>
        <v>#REF!</v>
      </c>
      <c r="GN62" t="e">
        <f>AND(#REF!,"AAAAAH77t8M=")</f>
        <v>#REF!</v>
      </c>
      <c r="GO62" t="e">
        <f>AND(#REF!,"AAAAAH77t8Q=")</f>
        <v>#REF!</v>
      </c>
      <c r="GP62" t="e">
        <f>AND(#REF!,"AAAAAH77t8U=")</f>
        <v>#REF!</v>
      </c>
      <c r="GQ62" t="e">
        <f>AND(#REF!,"AAAAAH77t8Y=")</f>
        <v>#REF!</v>
      </c>
      <c r="GR62" t="e">
        <f>AND(#REF!,"AAAAAH77t8c=")</f>
        <v>#REF!</v>
      </c>
      <c r="GS62" t="e">
        <f>AND(#REF!,"AAAAAH77t8g=")</f>
        <v>#REF!</v>
      </c>
      <c r="GT62" t="e">
        <f>AND(#REF!,"AAAAAH77t8k=")</f>
        <v>#REF!</v>
      </c>
      <c r="GU62" t="e">
        <f>AND(#REF!,"AAAAAH77t8o=")</f>
        <v>#REF!</v>
      </c>
      <c r="GV62" t="e">
        <f>AND(#REF!,"AAAAAH77t8s=")</f>
        <v>#REF!</v>
      </c>
      <c r="GW62" t="e">
        <f>AND(#REF!,"AAAAAH77t8w=")</f>
        <v>#REF!</v>
      </c>
      <c r="GX62" t="e">
        <f>AND(#REF!,"AAAAAH77t80=")</f>
        <v>#REF!</v>
      </c>
      <c r="GY62" t="e">
        <f>AND(#REF!,"AAAAAH77t84=")</f>
        <v>#REF!</v>
      </c>
      <c r="GZ62" t="e">
        <f>AND(#REF!,"AAAAAH77t88=")</f>
        <v>#REF!</v>
      </c>
      <c r="HA62" t="e">
        <f>AND(#REF!,"AAAAAH77t9A=")</f>
        <v>#REF!</v>
      </c>
      <c r="HB62" t="e">
        <f>AND(#REF!,"AAAAAH77t9E=")</f>
        <v>#REF!</v>
      </c>
      <c r="HC62" t="e">
        <f>AND(#REF!,"AAAAAH77t9I=")</f>
        <v>#REF!</v>
      </c>
      <c r="HD62" t="e">
        <f>AND(#REF!,"AAAAAH77t9M=")</f>
        <v>#REF!</v>
      </c>
      <c r="HE62" t="e">
        <f>AND(#REF!,"AAAAAH77t9Q=")</f>
        <v>#REF!</v>
      </c>
      <c r="HF62" t="e">
        <f>AND(#REF!,"AAAAAH77t9U=")</f>
        <v>#REF!</v>
      </c>
      <c r="HG62" t="e">
        <f>AND(#REF!,"AAAAAH77t9Y=")</f>
        <v>#REF!</v>
      </c>
      <c r="HH62" t="e">
        <f>AND(#REF!,"AAAAAH77t9c=")</f>
        <v>#REF!</v>
      </c>
      <c r="HI62" t="e">
        <f>AND(#REF!,"AAAAAH77t9g=")</f>
        <v>#REF!</v>
      </c>
      <c r="HJ62" t="e">
        <f>AND(#REF!,"AAAAAH77t9k=")</f>
        <v>#REF!</v>
      </c>
      <c r="HK62" t="e">
        <f>AND(#REF!,"AAAAAH77t9o=")</f>
        <v>#REF!</v>
      </c>
      <c r="HL62" t="e">
        <f>AND(#REF!,"AAAAAH77t9s=")</f>
        <v>#REF!</v>
      </c>
      <c r="HM62" t="e">
        <f>AND(#REF!,"AAAAAH77t9w=")</f>
        <v>#REF!</v>
      </c>
      <c r="HN62" t="e">
        <f>AND(#REF!,"AAAAAH77t90=")</f>
        <v>#REF!</v>
      </c>
      <c r="HO62" t="e">
        <f>AND(#REF!,"AAAAAH77t94=")</f>
        <v>#REF!</v>
      </c>
      <c r="HP62" t="e">
        <f>AND(#REF!,"AAAAAH77t98=")</f>
        <v>#REF!</v>
      </c>
      <c r="HQ62" t="e">
        <f>AND(#REF!,"AAAAAH77t+A=")</f>
        <v>#REF!</v>
      </c>
      <c r="HR62" t="e">
        <f>AND(#REF!,"AAAAAH77t+E=")</f>
        <v>#REF!</v>
      </c>
      <c r="HS62" t="e">
        <f>AND(#REF!,"AAAAAH77t+I=")</f>
        <v>#REF!</v>
      </c>
      <c r="HT62" t="e">
        <f>IF(#REF!,"AAAAAH77t+M=",0)</f>
        <v>#REF!</v>
      </c>
      <c r="HU62" t="e">
        <f>AND(#REF!,"AAAAAH77t+Q=")</f>
        <v>#REF!</v>
      </c>
      <c r="HV62" t="e">
        <f>AND(#REF!,"AAAAAH77t+U=")</f>
        <v>#REF!</v>
      </c>
      <c r="HW62" t="e">
        <f>AND(#REF!,"AAAAAH77t+Y=")</f>
        <v>#REF!</v>
      </c>
      <c r="HX62" t="e">
        <f>AND(#REF!,"AAAAAH77t+c=")</f>
        <v>#REF!</v>
      </c>
      <c r="HY62" t="e">
        <f>AND(#REF!,"AAAAAH77t+g=")</f>
        <v>#REF!</v>
      </c>
      <c r="HZ62" t="e">
        <f>AND(#REF!,"AAAAAH77t+k=")</f>
        <v>#REF!</v>
      </c>
      <c r="IA62" t="e">
        <f>AND(#REF!,"AAAAAH77t+o=")</f>
        <v>#REF!</v>
      </c>
      <c r="IB62" t="e">
        <f>AND(#REF!,"AAAAAH77t+s=")</f>
        <v>#REF!</v>
      </c>
      <c r="IC62" t="e">
        <f>AND(#REF!,"AAAAAH77t+w=")</f>
        <v>#REF!</v>
      </c>
      <c r="ID62" t="e">
        <f>AND(#REF!,"AAAAAH77t+0=")</f>
        <v>#REF!</v>
      </c>
      <c r="IE62" t="e">
        <f>AND(#REF!,"AAAAAH77t+4=")</f>
        <v>#REF!</v>
      </c>
      <c r="IF62" t="e">
        <f>AND(#REF!,"AAAAAH77t+8=")</f>
        <v>#REF!</v>
      </c>
      <c r="IG62" t="e">
        <f>AND(#REF!,"AAAAAH77t/A=")</f>
        <v>#REF!</v>
      </c>
      <c r="IH62" t="e">
        <f>AND(#REF!,"AAAAAH77t/E=")</f>
        <v>#REF!</v>
      </c>
      <c r="II62" t="e">
        <f>AND(#REF!,"AAAAAH77t/I=")</f>
        <v>#REF!</v>
      </c>
      <c r="IJ62" t="e">
        <f>AND(#REF!,"AAAAAH77t/M=")</f>
        <v>#REF!</v>
      </c>
      <c r="IK62" t="e">
        <f>AND(#REF!,"AAAAAH77t/Q=")</f>
        <v>#REF!</v>
      </c>
      <c r="IL62" t="e">
        <f>AND(#REF!,"AAAAAH77t/U=")</f>
        <v>#REF!</v>
      </c>
      <c r="IM62" t="e">
        <f>AND(#REF!,"AAAAAH77t/Y=")</f>
        <v>#REF!</v>
      </c>
      <c r="IN62" t="e">
        <f>AND(#REF!,"AAAAAH77t/c=")</f>
        <v>#REF!</v>
      </c>
      <c r="IO62" t="e">
        <f>AND(#REF!,"AAAAAH77t/g=")</f>
        <v>#REF!</v>
      </c>
      <c r="IP62" t="e">
        <f>AND(#REF!,"AAAAAH77t/k=")</f>
        <v>#REF!</v>
      </c>
      <c r="IQ62" t="e">
        <f>AND(#REF!,"AAAAAH77t/o=")</f>
        <v>#REF!</v>
      </c>
      <c r="IR62" t="e">
        <f>AND(#REF!,"AAAAAH77t/s=")</f>
        <v>#REF!</v>
      </c>
      <c r="IS62" t="e">
        <f>AND(#REF!,"AAAAAH77t/w=")</f>
        <v>#REF!</v>
      </c>
      <c r="IT62" t="e">
        <f>AND(#REF!,"AAAAAH77t/0=")</f>
        <v>#REF!</v>
      </c>
      <c r="IU62" t="e">
        <f>AND(#REF!,"AAAAAH77t/4=")</f>
        <v>#REF!</v>
      </c>
      <c r="IV62" t="e">
        <f>AND(#REF!,"AAAAAH77t/8=")</f>
        <v>#REF!</v>
      </c>
    </row>
    <row r="63" spans="1:256">
      <c r="A63" t="e">
        <f>AND(#REF!,"AAAAAH33ngA=")</f>
        <v>#REF!</v>
      </c>
      <c r="B63" t="e">
        <f>AND(#REF!,"AAAAAH33ngE=")</f>
        <v>#REF!</v>
      </c>
      <c r="C63" t="e">
        <f>AND(#REF!,"AAAAAH33ngI=")</f>
        <v>#REF!</v>
      </c>
      <c r="D63" t="e">
        <f>AND(#REF!,"AAAAAH33ngM=")</f>
        <v>#REF!</v>
      </c>
      <c r="E63" t="e">
        <f>AND(#REF!,"AAAAAH33ngQ=")</f>
        <v>#REF!</v>
      </c>
      <c r="F63" t="e">
        <f>AND(#REF!,"AAAAAH33ngU=")</f>
        <v>#REF!</v>
      </c>
      <c r="G63" t="e">
        <f>AND(#REF!,"AAAAAH33ngY=")</f>
        <v>#REF!</v>
      </c>
      <c r="H63" t="e">
        <f>AND(#REF!,"AAAAAH33ngc=")</f>
        <v>#REF!</v>
      </c>
      <c r="I63" t="e">
        <f>AND(#REF!,"AAAAAH33ngg=")</f>
        <v>#REF!</v>
      </c>
      <c r="J63" t="e">
        <f>AND(#REF!,"AAAAAH33ngk=")</f>
        <v>#REF!</v>
      </c>
      <c r="K63" t="e">
        <f>AND(#REF!,"AAAAAH33ngo=")</f>
        <v>#REF!</v>
      </c>
      <c r="L63" t="e">
        <f>AND(#REF!,"AAAAAH33ngs=")</f>
        <v>#REF!</v>
      </c>
      <c r="M63" t="e">
        <f>AND(#REF!,"AAAAAH33ngw=")</f>
        <v>#REF!</v>
      </c>
      <c r="N63" t="e">
        <f>IF(#REF!,"AAAAAH33ng0=",0)</f>
        <v>#REF!</v>
      </c>
      <c r="O63" t="e">
        <f>AND(#REF!,"AAAAAH33ng4=")</f>
        <v>#REF!</v>
      </c>
      <c r="P63" t="e">
        <f>AND(#REF!,"AAAAAH33ng8=")</f>
        <v>#REF!</v>
      </c>
      <c r="Q63" t="e">
        <f>AND(#REF!,"AAAAAH33nhA=")</f>
        <v>#REF!</v>
      </c>
      <c r="R63" t="e">
        <f>AND(#REF!,"AAAAAH33nhE=")</f>
        <v>#REF!</v>
      </c>
      <c r="S63" t="e">
        <f>AND(#REF!,"AAAAAH33nhI=")</f>
        <v>#REF!</v>
      </c>
      <c r="T63" t="e">
        <f>AND(#REF!,"AAAAAH33nhM=")</f>
        <v>#REF!</v>
      </c>
      <c r="U63" t="e">
        <f>AND(#REF!,"AAAAAH33nhQ=")</f>
        <v>#REF!</v>
      </c>
      <c r="V63" t="e">
        <f>AND(#REF!,"AAAAAH33nhU=")</f>
        <v>#REF!</v>
      </c>
      <c r="W63" t="e">
        <f>AND(#REF!,"AAAAAH33nhY=")</f>
        <v>#REF!</v>
      </c>
      <c r="X63" t="e">
        <f>AND(#REF!,"AAAAAH33nhc=")</f>
        <v>#REF!</v>
      </c>
      <c r="Y63" t="e">
        <f>AND(#REF!,"AAAAAH33nhg=")</f>
        <v>#REF!</v>
      </c>
      <c r="Z63" t="e">
        <f>AND(#REF!,"AAAAAH33nhk=")</f>
        <v>#REF!</v>
      </c>
      <c r="AA63" t="e">
        <f>AND(#REF!,"AAAAAH33nho=")</f>
        <v>#REF!</v>
      </c>
      <c r="AB63" t="e">
        <f>AND(#REF!,"AAAAAH33nhs=")</f>
        <v>#REF!</v>
      </c>
      <c r="AC63" t="e">
        <f>AND(#REF!,"AAAAAH33nhw=")</f>
        <v>#REF!</v>
      </c>
      <c r="AD63" t="e">
        <f>AND(#REF!,"AAAAAH33nh0=")</f>
        <v>#REF!</v>
      </c>
      <c r="AE63" t="e">
        <f>AND(#REF!,"AAAAAH33nh4=")</f>
        <v>#REF!</v>
      </c>
      <c r="AF63" t="e">
        <f>AND(#REF!,"AAAAAH33nh8=")</f>
        <v>#REF!</v>
      </c>
      <c r="AG63" t="e">
        <f>AND(#REF!,"AAAAAH33niA=")</f>
        <v>#REF!</v>
      </c>
      <c r="AH63" t="e">
        <f>AND(#REF!,"AAAAAH33niE=")</f>
        <v>#REF!</v>
      </c>
      <c r="AI63" t="e">
        <f>AND(#REF!,"AAAAAH33niI=")</f>
        <v>#REF!</v>
      </c>
      <c r="AJ63" t="e">
        <f>AND(#REF!,"AAAAAH33niM=")</f>
        <v>#REF!</v>
      </c>
      <c r="AK63" t="e">
        <f>AND(#REF!,"AAAAAH33niQ=")</f>
        <v>#REF!</v>
      </c>
      <c r="AL63" t="e">
        <f>AND(#REF!,"AAAAAH33niU=")</f>
        <v>#REF!</v>
      </c>
      <c r="AM63" t="e">
        <f>AND(#REF!,"AAAAAH33niY=")</f>
        <v>#REF!</v>
      </c>
      <c r="AN63" t="e">
        <f>AND(#REF!,"AAAAAH33nic=")</f>
        <v>#REF!</v>
      </c>
      <c r="AO63" t="e">
        <f>AND(#REF!,"AAAAAH33nig=")</f>
        <v>#REF!</v>
      </c>
      <c r="AP63" t="e">
        <f>AND(#REF!,"AAAAAH33nik=")</f>
        <v>#REF!</v>
      </c>
      <c r="AQ63" t="e">
        <f>AND(#REF!,"AAAAAH33nio=")</f>
        <v>#REF!</v>
      </c>
      <c r="AR63" t="e">
        <f>AND(#REF!,"AAAAAH33nis=")</f>
        <v>#REF!</v>
      </c>
      <c r="AS63" t="e">
        <f>AND(#REF!,"AAAAAH33niw=")</f>
        <v>#REF!</v>
      </c>
      <c r="AT63" t="e">
        <f>AND(#REF!,"AAAAAH33ni0=")</f>
        <v>#REF!</v>
      </c>
      <c r="AU63" t="e">
        <f>AND(#REF!,"AAAAAH33ni4=")</f>
        <v>#REF!</v>
      </c>
      <c r="AV63" t="e">
        <f>AND(#REF!,"AAAAAH33ni8=")</f>
        <v>#REF!</v>
      </c>
      <c r="AW63" t="e">
        <f>AND(#REF!,"AAAAAH33njA=")</f>
        <v>#REF!</v>
      </c>
      <c r="AX63" t="e">
        <f>AND(#REF!,"AAAAAH33njE=")</f>
        <v>#REF!</v>
      </c>
      <c r="AY63" t="e">
        <f>AND(#REF!,"AAAAAH33njI=")</f>
        <v>#REF!</v>
      </c>
      <c r="AZ63" t="e">
        <f>AND(#REF!,"AAAAAH33njM=")</f>
        <v>#REF!</v>
      </c>
      <c r="BA63" t="e">
        <f>AND(#REF!,"AAAAAH33njQ=")</f>
        <v>#REF!</v>
      </c>
      <c r="BB63" t="e">
        <f>AND(#REF!,"AAAAAH33njU=")</f>
        <v>#REF!</v>
      </c>
      <c r="BC63" t="e">
        <f>AND(#REF!,"AAAAAH33njY=")</f>
        <v>#REF!</v>
      </c>
      <c r="BD63" t="e">
        <f>IF(#REF!,"AAAAAH33njc=",0)</f>
        <v>#REF!</v>
      </c>
      <c r="BE63" t="e">
        <f>AND(#REF!,"AAAAAH33njg=")</f>
        <v>#REF!</v>
      </c>
      <c r="BF63" t="e">
        <f>AND(#REF!,"AAAAAH33njk=")</f>
        <v>#REF!</v>
      </c>
      <c r="BG63" t="e">
        <f>AND(#REF!,"AAAAAH33njo=")</f>
        <v>#REF!</v>
      </c>
      <c r="BH63" t="e">
        <f>AND(#REF!,"AAAAAH33njs=")</f>
        <v>#REF!</v>
      </c>
      <c r="BI63" t="e">
        <f>AND(#REF!,"AAAAAH33njw=")</f>
        <v>#REF!</v>
      </c>
      <c r="BJ63" t="e">
        <f>AND(#REF!,"AAAAAH33nj0=")</f>
        <v>#REF!</v>
      </c>
      <c r="BK63" t="e">
        <f>AND(#REF!,"AAAAAH33nj4=")</f>
        <v>#REF!</v>
      </c>
      <c r="BL63" t="e">
        <f>AND(#REF!,"AAAAAH33nj8=")</f>
        <v>#REF!</v>
      </c>
      <c r="BM63" t="e">
        <f>AND(#REF!,"AAAAAH33nkA=")</f>
        <v>#REF!</v>
      </c>
      <c r="BN63" t="e">
        <f>AND(#REF!,"AAAAAH33nkE=")</f>
        <v>#REF!</v>
      </c>
      <c r="BO63" t="e">
        <f>AND(#REF!,"AAAAAH33nkI=")</f>
        <v>#REF!</v>
      </c>
      <c r="BP63" t="e">
        <f>AND(#REF!,"AAAAAH33nkM=")</f>
        <v>#REF!</v>
      </c>
      <c r="BQ63" t="e">
        <f>AND(#REF!,"AAAAAH33nkQ=")</f>
        <v>#REF!</v>
      </c>
      <c r="BR63" t="e">
        <f>AND(#REF!,"AAAAAH33nkU=")</f>
        <v>#REF!</v>
      </c>
      <c r="BS63" t="e">
        <f>AND(#REF!,"AAAAAH33nkY=")</f>
        <v>#REF!</v>
      </c>
      <c r="BT63" t="e">
        <f>AND(#REF!,"AAAAAH33nkc=")</f>
        <v>#REF!</v>
      </c>
      <c r="BU63" t="e">
        <f>AND(#REF!,"AAAAAH33nkg=")</f>
        <v>#REF!</v>
      </c>
      <c r="BV63" t="e">
        <f>AND(#REF!,"AAAAAH33nkk=")</f>
        <v>#REF!</v>
      </c>
      <c r="BW63" t="e">
        <f>AND(#REF!,"AAAAAH33nko=")</f>
        <v>#REF!</v>
      </c>
      <c r="BX63" t="e">
        <f>AND(#REF!,"AAAAAH33nks=")</f>
        <v>#REF!</v>
      </c>
      <c r="BY63" t="e">
        <f>AND(#REF!,"AAAAAH33nkw=")</f>
        <v>#REF!</v>
      </c>
      <c r="BZ63" t="e">
        <f>AND(#REF!,"AAAAAH33nk0=")</f>
        <v>#REF!</v>
      </c>
      <c r="CA63" t="e">
        <f>AND(#REF!,"AAAAAH33nk4=")</f>
        <v>#REF!</v>
      </c>
      <c r="CB63" t="e">
        <f>AND(#REF!,"AAAAAH33nk8=")</f>
        <v>#REF!</v>
      </c>
      <c r="CC63" t="e">
        <f>AND(#REF!,"AAAAAH33nlA=")</f>
        <v>#REF!</v>
      </c>
      <c r="CD63" t="e">
        <f>AND(#REF!,"AAAAAH33nlE=")</f>
        <v>#REF!</v>
      </c>
      <c r="CE63" t="e">
        <f>AND(#REF!,"AAAAAH33nlI=")</f>
        <v>#REF!</v>
      </c>
      <c r="CF63" t="e">
        <f>AND(#REF!,"AAAAAH33nlM=")</f>
        <v>#REF!</v>
      </c>
      <c r="CG63" t="e">
        <f>AND(#REF!,"AAAAAH33nlQ=")</f>
        <v>#REF!</v>
      </c>
      <c r="CH63" t="e">
        <f>AND(#REF!,"AAAAAH33nlU=")</f>
        <v>#REF!</v>
      </c>
      <c r="CI63" t="e">
        <f>AND(#REF!,"AAAAAH33nlY=")</f>
        <v>#REF!</v>
      </c>
      <c r="CJ63" t="e">
        <f>AND(#REF!,"AAAAAH33nlc=")</f>
        <v>#REF!</v>
      </c>
      <c r="CK63" t="e">
        <f>AND(#REF!,"AAAAAH33nlg=")</f>
        <v>#REF!</v>
      </c>
      <c r="CL63" t="e">
        <f>AND(#REF!,"AAAAAH33nlk=")</f>
        <v>#REF!</v>
      </c>
      <c r="CM63" t="e">
        <f>AND(#REF!,"AAAAAH33nlo=")</f>
        <v>#REF!</v>
      </c>
      <c r="CN63" t="e">
        <f>AND(#REF!,"AAAAAH33nls=")</f>
        <v>#REF!</v>
      </c>
      <c r="CO63" t="e">
        <f>AND(#REF!,"AAAAAH33nlw=")</f>
        <v>#REF!</v>
      </c>
      <c r="CP63" t="e">
        <f>AND(#REF!,"AAAAAH33nl0=")</f>
        <v>#REF!</v>
      </c>
      <c r="CQ63" t="e">
        <f>AND(#REF!,"AAAAAH33nl4=")</f>
        <v>#REF!</v>
      </c>
      <c r="CR63" t="e">
        <f>AND(#REF!,"AAAAAH33nl8=")</f>
        <v>#REF!</v>
      </c>
      <c r="CS63" t="e">
        <f>AND(#REF!,"AAAAAH33nmA=")</f>
        <v>#REF!</v>
      </c>
      <c r="CT63" t="e">
        <f>IF(#REF!,"AAAAAH33nmE=",0)</f>
        <v>#REF!</v>
      </c>
      <c r="CU63" t="e">
        <f>AND(#REF!,"AAAAAH33nmI=")</f>
        <v>#REF!</v>
      </c>
      <c r="CV63" t="e">
        <f>AND(#REF!,"AAAAAH33nmM=")</f>
        <v>#REF!</v>
      </c>
      <c r="CW63" t="e">
        <f>AND(#REF!,"AAAAAH33nmQ=")</f>
        <v>#REF!</v>
      </c>
      <c r="CX63" t="e">
        <f>AND(#REF!,"AAAAAH33nmU=")</f>
        <v>#REF!</v>
      </c>
      <c r="CY63" t="e">
        <f>AND(#REF!,"AAAAAH33nmY=")</f>
        <v>#REF!</v>
      </c>
      <c r="CZ63" t="e">
        <f>AND(#REF!,"AAAAAH33nmc=")</f>
        <v>#REF!</v>
      </c>
      <c r="DA63" t="e">
        <f>AND(#REF!,"AAAAAH33nmg=")</f>
        <v>#REF!</v>
      </c>
      <c r="DB63" t="e">
        <f>AND(#REF!,"AAAAAH33nmk=")</f>
        <v>#REF!</v>
      </c>
      <c r="DC63" t="e">
        <f>AND(#REF!,"AAAAAH33nmo=")</f>
        <v>#REF!</v>
      </c>
      <c r="DD63" t="e">
        <f>AND(#REF!,"AAAAAH33nms=")</f>
        <v>#REF!</v>
      </c>
      <c r="DE63" t="e">
        <f>AND(#REF!,"AAAAAH33nmw=")</f>
        <v>#REF!</v>
      </c>
      <c r="DF63" t="e">
        <f>AND(#REF!,"AAAAAH33nm0=")</f>
        <v>#REF!</v>
      </c>
      <c r="DG63" t="e">
        <f>AND(#REF!,"AAAAAH33nm4=")</f>
        <v>#REF!</v>
      </c>
      <c r="DH63" t="e">
        <f>AND(#REF!,"AAAAAH33nm8=")</f>
        <v>#REF!</v>
      </c>
      <c r="DI63" t="e">
        <f>AND(#REF!,"AAAAAH33nnA=")</f>
        <v>#REF!</v>
      </c>
      <c r="DJ63" t="e">
        <f>AND(#REF!,"AAAAAH33nnE=")</f>
        <v>#REF!</v>
      </c>
      <c r="DK63" t="e">
        <f>AND(#REF!,"AAAAAH33nnI=")</f>
        <v>#REF!</v>
      </c>
      <c r="DL63" t="e">
        <f>AND(#REF!,"AAAAAH33nnM=")</f>
        <v>#REF!</v>
      </c>
      <c r="DM63" t="e">
        <f>AND(#REF!,"AAAAAH33nnQ=")</f>
        <v>#REF!</v>
      </c>
      <c r="DN63" t="e">
        <f>AND(#REF!,"AAAAAH33nnU=")</f>
        <v>#REF!</v>
      </c>
      <c r="DO63" t="e">
        <f>AND(#REF!,"AAAAAH33nnY=")</f>
        <v>#REF!</v>
      </c>
      <c r="DP63" t="e">
        <f>AND(#REF!,"AAAAAH33nnc=")</f>
        <v>#REF!</v>
      </c>
      <c r="DQ63" t="e">
        <f>AND(#REF!,"AAAAAH33nng=")</f>
        <v>#REF!</v>
      </c>
      <c r="DR63" t="e">
        <f>AND(#REF!,"AAAAAH33nnk=")</f>
        <v>#REF!</v>
      </c>
      <c r="DS63" t="e">
        <f>AND(#REF!,"AAAAAH33nno=")</f>
        <v>#REF!</v>
      </c>
      <c r="DT63" t="e">
        <f>AND(#REF!,"AAAAAH33nns=")</f>
        <v>#REF!</v>
      </c>
      <c r="DU63" t="e">
        <f>AND(#REF!,"AAAAAH33nnw=")</f>
        <v>#REF!</v>
      </c>
      <c r="DV63" t="e">
        <f>AND(#REF!,"AAAAAH33nn0=")</f>
        <v>#REF!</v>
      </c>
      <c r="DW63" t="e">
        <f>AND(#REF!,"AAAAAH33nn4=")</f>
        <v>#REF!</v>
      </c>
      <c r="DX63" t="e">
        <f>AND(#REF!,"AAAAAH33nn8=")</f>
        <v>#REF!</v>
      </c>
      <c r="DY63" t="e">
        <f>AND(#REF!,"AAAAAH33noA=")</f>
        <v>#REF!</v>
      </c>
      <c r="DZ63" t="e">
        <f>AND(#REF!,"AAAAAH33noE=")</f>
        <v>#REF!</v>
      </c>
      <c r="EA63" t="e">
        <f>AND(#REF!,"AAAAAH33noI=")</f>
        <v>#REF!</v>
      </c>
      <c r="EB63" t="e">
        <f>AND(#REF!,"AAAAAH33noM=")</f>
        <v>#REF!</v>
      </c>
      <c r="EC63" t="e">
        <f>AND(#REF!,"AAAAAH33noQ=")</f>
        <v>#REF!</v>
      </c>
      <c r="ED63" t="e">
        <f>AND(#REF!,"AAAAAH33noU=")</f>
        <v>#REF!</v>
      </c>
      <c r="EE63" t="e">
        <f>AND(#REF!,"AAAAAH33noY=")</f>
        <v>#REF!</v>
      </c>
      <c r="EF63" t="e">
        <f>AND(#REF!,"AAAAAH33noc=")</f>
        <v>#REF!</v>
      </c>
      <c r="EG63" t="e">
        <f>AND(#REF!,"AAAAAH33nog=")</f>
        <v>#REF!</v>
      </c>
      <c r="EH63" t="e">
        <f>AND(#REF!,"AAAAAH33nok=")</f>
        <v>#REF!</v>
      </c>
      <c r="EI63" t="e">
        <f>AND(#REF!,"AAAAAH33noo=")</f>
        <v>#REF!</v>
      </c>
      <c r="EJ63" t="e">
        <f>IF(#REF!,"AAAAAH33nos=",0)</f>
        <v>#REF!</v>
      </c>
      <c r="EK63" t="e">
        <f>AND(#REF!,"AAAAAH33now=")</f>
        <v>#REF!</v>
      </c>
      <c r="EL63" t="e">
        <f>AND(#REF!,"AAAAAH33no0=")</f>
        <v>#REF!</v>
      </c>
      <c r="EM63" t="e">
        <f>AND(#REF!,"AAAAAH33no4=")</f>
        <v>#REF!</v>
      </c>
      <c r="EN63" t="e">
        <f>AND(#REF!,"AAAAAH33no8=")</f>
        <v>#REF!</v>
      </c>
      <c r="EO63" t="e">
        <f>AND(#REF!,"AAAAAH33npA=")</f>
        <v>#REF!</v>
      </c>
      <c r="EP63" t="e">
        <f>AND(#REF!,"AAAAAH33npE=")</f>
        <v>#REF!</v>
      </c>
      <c r="EQ63" t="e">
        <f>AND(#REF!,"AAAAAH33npI=")</f>
        <v>#REF!</v>
      </c>
      <c r="ER63" t="e">
        <f>AND(#REF!,"AAAAAH33npM=")</f>
        <v>#REF!</v>
      </c>
      <c r="ES63" t="e">
        <f>AND(#REF!,"AAAAAH33npQ=")</f>
        <v>#REF!</v>
      </c>
      <c r="ET63" t="e">
        <f>AND(#REF!,"AAAAAH33npU=")</f>
        <v>#REF!</v>
      </c>
      <c r="EU63" t="e">
        <f>AND(#REF!,"AAAAAH33npY=")</f>
        <v>#REF!</v>
      </c>
      <c r="EV63" t="e">
        <f>AND(#REF!,"AAAAAH33npc=")</f>
        <v>#REF!</v>
      </c>
      <c r="EW63" t="e">
        <f>AND(#REF!,"AAAAAH33npg=")</f>
        <v>#REF!</v>
      </c>
      <c r="EX63" t="e">
        <f>AND(#REF!,"AAAAAH33npk=")</f>
        <v>#REF!</v>
      </c>
      <c r="EY63" t="e">
        <f>AND(#REF!,"AAAAAH33npo=")</f>
        <v>#REF!</v>
      </c>
      <c r="EZ63" t="e">
        <f>AND(#REF!,"AAAAAH33nps=")</f>
        <v>#REF!</v>
      </c>
      <c r="FA63" t="e">
        <f>AND(#REF!,"AAAAAH33npw=")</f>
        <v>#REF!</v>
      </c>
      <c r="FB63" t="e">
        <f>AND(#REF!,"AAAAAH33np0=")</f>
        <v>#REF!</v>
      </c>
      <c r="FC63" t="e">
        <f>AND(#REF!,"AAAAAH33np4=")</f>
        <v>#REF!</v>
      </c>
      <c r="FD63" t="e">
        <f>AND(#REF!,"AAAAAH33np8=")</f>
        <v>#REF!</v>
      </c>
      <c r="FE63" t="e">
        <f>AND(#REF!,"AAAAAH33nqA=")</f>
        <v>#REF!</v>
      </c>
      <c r="FF63" t="e">
        <f>AND(#REF!,"AAAAAH33nqE=")</f>
        <v>#REF!</v>
      </c>
      <c r="FG63" t="e">
        <f>AND(#REF!,"AAAAAH33nqI=")</f>
        <v>#REF!</v>
      </c>
      <c r="FH63" t="e">
        <f>AND(#REF!,"AAAAAH33nqM=")</f>
        <v>#REF!</v>
      </c>
      <c r="FI63" t="e">
        <f>AND(#REF!,"AAAAAH33nqQ=")</f>
        <v>#REF!</v>
      </c>
      <c r="FJ63" t="e">
        <f>AND(#REF!,"AAAAAH33nqU=")</f>
        <v>#REF!</v>
      </c>
      <c r="FK63" t="e">
        <f>AND(#REF!,"AAAAAH33nqY=")</f>
        <v>#REF!</v>
      </c>
      <c r="FL63" t="e">
        <f>AND(#REF!,"AAAAAH33nqc=")</f>
        <v>#REF!</v>
      </c>
      <c r="FM63" t="e">
        <f>AND(#REF!,"AAAAAH33nqg=")</f>
        <v>#REF!</v>
      </c>
      <c r="FN63" t="e">
        <f>AND(#REF!,"AAAAAH33nqk=")</f>
        <v>#REF!</v>
      </c>
      <c r="FO63" t="e">
        <f>AND(#REF!,"AAAAAH33nqo=")</f>
        <v>#REF!</v>
      </c>
      <c r="FP63" t="e">
        <f>AND(#REF!,"AAAAAH33nqs=")</f>
        <v>#REF!</v>
      </c>
      <c r="FQ63" t="e">
        <f>AND(#REF!,"AAAAAH33nqw=")</f>
        <v>#REF!</v>
      </c>
      <c r="FR63" t="e">
        <f>AND(#REF!,"AAAAAH33nq0=")</f>
        <v>#REF!</v>
      </c>
      <c r="FS63" t="e">
        <f>AND(#REF!,"AAAAAH33nq4=")</f>
        <v>#REF!</v>
      </c>
      <c r="FT63" t="e">
        <f>AND(#REF!,"AAAAAH33nq8=")</f>
        <v>#REF!</v>
      </c>
      <c r="FU63" t="e">
        <f>AND(#REF!,"AAAAAH33nrA=")</f>
        <v>#REF!</v>
      </c>
      <c r="FV63" t="e">
        <f>AND(#REF!,"AAAAAH33nrE=")</f>
        <v>#REF!</v>
      </c>
      <c r="FW63" t="e">
        <f>AND(#REF!,"AAAAAH33nrI=")</f>
        <v>#REF!</v>
      </c>
      <c r="FX63" t="e">
        <f>AND(#REF!,"AAAAAH33nrM=")</f>
        <v>#REF!</v>
      </c>
      <c r="FY63" t="e">
        <f>AND(#REF!,"AAAAAH33nrQ=")</f>
        <v>#REF!</v>
      </c>
      <c r="FZ63" t="e">
        <f>IF(#REF!,"AAAAAH33nrU=",0)</f>
        <v>#REF!</v>
      </c>
      <c r="GA63" t="e">
        <f>AND(#REF!,"AAAAAH33nrY=")</f>
        <v>#REF!</v>
      </c>
      <c r="GB63" t="e">
        <f>AND(#REF!,"AAAAAH33nrc=")</f>
        <v>#REF!</v>
      </c>
      <c r="GC63" t="e">
        <f>AND(#REF!,"AAAAAH33nrg=")</f>
        <v>#REF!</v>
      </c>
      <c r="GD63" t="e">
        <f>AND(#REF!,"AAAAAH33nrk=")</f>
        <v>#REF!</v>
      </c>
      <c r="GE63" t="e">
        <f>AND(#REF!,"AAAAAH33nro=")</f>
        <v>#REF!</v>
      </c>
      <c r="GF63" t="e">
        <f>AND(#REF!,"AAAAAH33nrs=")</f>
        <v>#REF!</v>
      </c>
      <c r="GG63" t="e">
        <f>AND(#REF!,"AAAAAH33nrw=")</f>
        <v>#REF!</v>
      </c>
      <c r="GH63" t="e">
        <f>AND(#REF!,"AAAAAH33nr0=")</f>
        <v>#REF!</v>
      </c>
      <c r="GI63" t="e">
        <f>AND(#REF!,"AAAAAH33nr4=")</f>
        <v>#REF!</v>
      </c>
      <c r="GJ63" t="e">
        <f>AND(#REF!,"AAAAAH33nr8=")</f>
        <v>#REF!</v>
      </c>
      <c r="GK63" t="e">
        <f>AND(#REF!,"AAAAAH33nsA=")</f>
        <v>#REF!</v>
      </c>
      <c r="GL63" t="e">
        <f>AND(#REF!,"AAAAAH33nsE=")</f>
        <v>#REF!</v>
      </c>
      <c r="GM63" t="e">
        <f>AND(#REF!,"AAAAAH33nsI=")</f>
        <v>#REF!</v>
      </c>
      <c r="GN63" t="e">
        <f>AND(#REF!,"AAAAAH33nsM=")</f>
        <v>#REF!</v>
      </c>
      <c r="GO63" t="e">
        <f>AND(#REF!,"AAAAAH33nsQ=")</f>
        <v>#REF!</v>
      </c>
      <c r="GP63" t="e">
        <f>AND(#REF!,"AAAAAH33nsU=")</f>
        <v>#REF!</v>
      </c>
      <c r="GQ63" t="e">
        <f>AND(#REF!,"AAAAAH33nsY=")</f>
        <v>#REF!</v>
      </c>
      <c r="GR63" t="e">
        <f>AND(#REF!,"AAAAAH33nsc=")</f>
        <v>#REF!</v>
      </c>
      <c r="GS63" t="e">
        <f>AND(#REF!,"AAAAAH33nsg=")</f>
        <v>#REF!</v>
      </c>
      <c r="GT63" t="e">
        <f>AND(#REF!,"AAAAAH33nsk=")</f>
        <v>#REF!</v>
      </c>
      <c r="GU63" t="e">
        <f>AND(#REF!,"AAAAAH33nso=")</f>
        <v>#REF!</v>
      </c>
      <c r="GV63" t="e">
        <f>AND(#REF!,"AAAAAH33nss=")</f>
        <v>#REF!</v>
      </c>
      <c r="GW63" t="e">
        <f>AND(#REF!,"AAAAAH33nsw=")</f>
        <v>#REF!</v>
      </c>
      <c r="GX63" t="e">
        <f>AND(#REF!,"AAAAAH33ns0=")</f>
        <v>#REF!</v>
      </c>
      <c r="GY63" t="e">
        <f>AND(#REF!,"AAAAAH33ns4=")</f>
        <v>#REF!</v>
      </c>
      <c r="GZ63" t="e">
        <f>AND(#REF!,"AAAAAH33ns8=")</f>
        <v>#REF!</v>
      </c>
      <c r="HA63" t="e">
        <f>AND(#REF!,"AAAAAH33ntA=")</f>
        <v>#REF!</v>
      </c>
      <c r="HB63" t="e">
        <f>AND(#REF!,"AAAAAH33ntE=")</f>
        <v>#REF!</v>
      </c>
      <c r="HC63" t="e">
        <f>AND(#REF!,"AAAAAH33ntI=")</f>
        <v>#REF!</v>
      </c>
      <c r="HD63" t="e">
        <f>AND(#REF!,"AAAAAH33ntM=")</f>
        <v>#REF!</v>
      </c>
      <c r="HE63" t="e">
        <f>AND(#REF!,"AAAAAH33ntQ=")</f>
        <v>#REF!</v>
      </c>
      <c r="HF63" t="e">
        <f>AND(#REF!,"AAAAAH33ntU=")</f>
        <v>#REF!</v>
      </c>
      <c r="HG63" t="e">
        <f>AND(#REF!,"AAAAAH33ntY=")</f>
        <v>#REF!</v>
      </c>
      <c r="HH63" t="e">
        <f>AND(#REF!,"AAAAAH33ntc=")</f>
        <v>#REF!</v>
      </c>
      <c r="HI63" t="e">
        <f>AND(#REF!,"AAAAAH33ntg=")</f>
        <v>#REF!</v>
      </c>
      <c r="HJ63" t="e">
        <f>AND(#REF!,"AAAAAH33ntk=")</f>
        <v>#REF!</v>
      </c>
      <c r="HK63" t="e">
        <f>AND(#REF!,"AAAAAH33nto=")</f>
        <v>#REF!</v>
      </c>
      <c r="HL63" t="e">
        <f>AND(#REF!,"AAAAAH33nts=")</f>
        <v>#REF!</v>
      </c>
      <c r="HM63" t="e">
        <f>AND(#REF!,"AAAAAH33ntw=")</f>
        <v>#REF!</v>
      </c>
      <c r="HN63" t="e">
        <f>AND(#REF!,"AAAAAH33nt0=")</f>
        <v>#REF!</v>
      </c>
      <c r="HO63" t="e">
        <f>AND(#REF!,"AAAAAH33nt4=")</f>
        <v>#REF!</v>
      </c>
      <c r="HP63" t="e">
        <f>IF(#REF!,"AAAAAH33nt8=",0)</f>
        <v>#REF!</v>
      </c>
      <c r="HQ63" t="e">
        <f>AND(#REF!,"AAAAAH33nuA=")</f>
        <v>#REF!</v>
      </c>
      <c r="HR63" t="e">
        <f>AND(#REF!,"AAAAAH33nuE=")</f>
        <v>#REF!</v>
      </c>
      <c r="HS63" t="e">
        <f>AND(#REF!,"AAAAAH33nuI=")</f>
        <v>#REF!</v>
      </c>
      <c r="HT63" t="e">
        <f>AND(#REF!,"AAAAAH33nuM=")</f>
        <v>#REF!</v>
      </c>
      <c r="HU63" t="e">
        <f>AND(#REF!,"AAAAAH33nuQ=")</f>
        <v>#REF!</v>
      </c>
      <c r="HV63" t="e">
        <f>AND(#REF!,"AAAAAH33nuU=")</f>
        <v>#REF!</v>
      </c>
      <c r="HW63" t="e">
        <f>AND(#REF!,"AAAAAH33nuY=")</f>
        <v>#REF!</v>
      </c>
      <c r="HX63" t="e">
        <f>AND(#REF!,"AAAAAH33nuc=")</f>
        <v>#REF!</v>
      </c>
      <c r="HY63" t="e">
        <f>AND(#REF!,"AAAAAH33nug=")</f>
        <v>#REF!</v>
      </c>
      <c r="HZ63" t="e">
        <f>AND(#REF!,"AAAAAH33nuk=")</f>
        <v>#REF!</v>
      </c>
      <c r="IA63" t="e">
        <f>AND(#REF!,"AAAAAH33nuo=")</f>
        <v>#REF!</v>
      </c>
      <c r="IB63" t="e">
        <f>AND(#REF!,"AAAAAH33nus=")</f>
        <v>#REF!</v>
      </c>
      <c r="IC63" t="e">
        <f>AND(#REF!,"AAAAAH33nuw=")</f>
        <v>#REF!</v>
      </c>
      <c r="ID63" t="e">
        <f>AND(#REF!,"AAAAAH33nu0=")</f>
        <v>#REF!</v>
      </c>
      <c r="IE63" t="e">
        <f>AND(#REF!,"AAAAAH33nu4=")</f>
        <v>#REF!</v>
      </c>
      <c r="IF63" t="e">
        <f>AND(#REF!,"AAAAAH33nu8=")</f>
        <v>#REF!</v>
      </c>
      <c r="IG63" t="e">
        <f>AND(#REF!,"AAAAAH33nvA=")</f>
        <v>#REF!</v>
      </c>
      <c r="IH63" t="e">
        <f>AND(#REF!,"AAAAAH33nvE=")</f>
        <v>#REF!</v>
      </c>
      <c r="II63" t="e">
        <f>AND(#REF!,"AAAAAH33nvI=")</f>
        <v>#REF!</v>
      </c>
      <c r="IJ63" t="e">
        <f>AND(#REF!,"AAAAAH33nvM=")</f>
        <v>#REF!</v>
      </c>
      <c r="IK63" t="e">
        <f>AND(#REF!,"AAAAAH33nvQ=")</f>
        <v>#REF!</v>
      </c>
      <c r="IL63" t="e">
        <f>AND(#REF!,"AAAAAH33nvU=")</f>
        <v>#REF!</v>
      </c>
      <c r="IM63" t="e">
        <f>AND(#REF!,"AAAAAH33nvY=")</f>
        <v>#REF!</v>
      </c>
      <c r="IN63" t="e">
        <f>AND(#REF!,"AAAAAH33nvc=")</f>
        <v>#REF!</v>
      </c>
      <c r="IO63" t="e">
        <f>AND(#REF!,"AAAAAH33nvg=")</f>
        <v>#REF!</v>
      </c>
      <c r="IP63" t="e">
        <f>AND(#REF!,"AAAAAH33nvk=")</f>
        <v>#REF!</v>
      </c>
      <c r="IQ63" t="e">
        <f>AND(#REF!,"AAAAAH33nvo=")</f>
        <v>#REF!</v>
      </c>
      <c r="IR63" t="e">
        <f>AND(#REF!,"AAAAAH33nvs=")</f>
        <v>#REF!</v>
      </c>
      <c r="IS63" t="e">
        <f>AND(#REF!,"AAAAAH33nvw=")</f>
        <v>#REF!</v>
      </c>
      <c r="IT63" t="e">
        <f>AND(#REF!,"AAAAAH33nv0=")</f>
        <v>#REF!</v>
      </c>
      <c r="IU63" t="e">
        <f>AND(#REF!,"AAAAAH33nv4=")</f>
        <v>#REF!</v>
      </c>
      <c r="IV63" t="e">
        <f>AND(#REF!,"AAAAAH33nv8=")</f>
        <v>#REF!</v>
      </c>
    </row>
    <row r="64" spans="1:256">
      <c r="A64" t="e">
        <f>AND(#REF!,"AAAAAFPv7QA=")</f>
        <v>#REF!</v>
      </c>
      <c r="B64" t="e">
        <f>AND(#REF!,"AAAAAFPv7QE=")</f>
        <v>#REF!</v>
      </c>
      <c r="C64" t="e">
        <f>AND(#REF!,"AAAAAFPv7QI=")</f>
        <v>#REF!</v>
      </c>
      <c r="D64" t="e">
        <f>AND(#REF!,"AAAAAFPv7QM=")</f>
        <v>#REF!</v>
      </c>
      <c r="E64" t="e">
        <f>AND(#REF!,"AAAAAFPv7QQ=")</f>
        <v>#REF!</v>
      </c>
      <c r="F64" t="e">
        <f>AND(#REF!,"AAAAAFPv7QU=")</f>
        <v>#REF!</v>
      </c>
      <c r="G64" t="e">
        <f>AND(#REF!,"AAAAAFPv7QY=")</f>
        <v>#REF!</v>
      </c>
      <c r="H64" t="e">
        <f>AND(#REF!,"AAAAAFPv7Qc=")</f>
        <v>#REF!</v>
      </c>
      <c r="I64" t="e">
        <f>AND(#REF!,"AAAAAFPv7Qg=")</f>
        <v>#REF!</v>
      </c>
      <c r="J64" t="e">
        <f>IF(#REF!,"AAAAAFPv7Qk=",0)</f>
        <v>#REF!</v>
      </c>
      <c r="K64" t="e">
        <f>AND(#REF!,"AAAAAFPv7Qo=")</f>
        <v>#REF!</v>
      </c>
      <c r="L64" t="e">
        <f>AND(#REF!,"AAAAAFPv7Qs=")</f>
        <v>#REF!</v>
      </c>
      <c r="M64" t="e">
        <f>AND(#REF!,"AAAAAFPv7Qw=")</f>
        <v>#REF!</v>
      </c>
      <c r="N64" t="e">
        <f>AND(#REF!,"AAAAAFPv7Q0=")</f>
        <v>#REF!</v>
      </c>
      <c r="O64" t="e">
        <f>AND(#REF!,"AAAAAFPv7Q4=")</f>
        <v>#REF!</v>
      </c>
      <c r="P64" t="e">
        <f>AND(#REF!,"AAAAAFPv7Q8=")</f>
        <v>#REF!</v>
      </c>
      <c r="Q64" t="e">
        <f>AND(#REF!,"AAAAAFPv7RA=")</f>
        <v>#REF!</v>
      </c>
      <c r="R64" t="e">
        <f>AND(#REF!,"AAAAAFPv7RE=")</f>
        <v>#REF!</v>
      </c>
      <c r="S64" t="e">
        <f>AND(#REF!,"AAAAAFPv7RI=")</f>
        <v>#REF!</v>
      </c>
      <c r="T64" t="e">
        <f>AND(#REF!,"AAAAAFPv7RM=")</f>
        <v>#REF!</v>
      </c>
      <c r="U64" t="e">
        <f>AND(#REF!,"AAAAAFPv7RQ=")</f>
        <v>#REF!</v>
      </c>
      <c r="V64" t="e">
        <f>AND(#REF!,"AAAAAFPv7RU=")</f>
        <v>#REF!</v>
      </c>
      <c r="W64" t="e">
        <f>AND(#REF!,"AAAAAFPv7RY=")</f>
        <v>#REF!</v>
      </c>
      <c r="X64" t="e">
        <f>AND(#REF!,"AAAAAFPv7Rc=")</f>
        <v>#REF!</v>
      </c>
      <c r="Y64" t="e">
        <f>AND(#REF!,"AAAAAFPv7Rg=")</f>
        <v>#REF!</v>
      </c>
      <c r="Z64" t="e">
        <f>AND(#REF!,"AAAAAFPv7Rk=")</f>
        <v>#REF!</v>
      </c>
      <c r="AA64" t="e">
        <f>AND(#REF!,"AAAAAFPv7Ro=")</f>
        <v>#REF!</v>
      </c>
      <c r="AB64" t="e">
        <f>AND(#REF!,"AAAAAFPv7Rs=")</f>
        <v>#REF!</v>
      </c>
      <c r="AC64" t="e">
        <f>AND(#REF!,"AAAAAFPv7Rw=")</f>
        <v>#REF!</v>
      </c>
      <c r="AD64" t="e">
        <f>AND(#REF!,"AAAAAFPv7R0=")</f>
        <v>#REF!</v>
      </c>
      <c r="AE64" t="e">
        <f>AND(#REF!,"AAAAAFPv7R4=")</f>
        <v>#REF!</v>
      </c>
      <c r="AF64" t="e">
        <f>AND(#REF!,"AAAAAFPv7R8=")</f>
        <v>#REF!</v>
      </c>
      <c r="AG64" t="e">
        <f>AND(#REF!,"AAAAAFPv7SA=")</f>
        <v>#REF!</v>
      </c>
      <c r="AH64" t="e">
        <f>AND(#REF!,"AAAAAFPv7SE=")</f>
        <v>#REF!</v>
      </c>
      <c r="AI64" t="e">
        <f>AND(#REF!,"AAAAAFPv7SI=")</f>
        <v>#REF!</v>
      </c>
      <c r="AJ64" t="e">
        <f>AND(#REF!,"AAAAAFPv7SM=")</f>
        <v>#REF!</v>
      </c>
      <c r="AK64" t="e">
        <f>AND(#REF!,"AAAAAFPv7SQ=")</f>
        <v>#REF!</v>
      </c>
      <c r="AL64" t="e">
        <f>AND(#REF!,"AAAAAFPv7SU=")</f>
        <v>#REF!</v>
      </c>
      <c r="AM64" t="e">
        <f>AND(#REF!,"AAAAAFPv7SY=")</f>
        <v>#REF!</v>
      </c>
      <c r="AN64" t="e">
        <f>AND(#REF!,"AAAAAFPv7Sc=")</f>
        <v>#REF!</v>
      </c>
      <c r="AO64" t="e">
        <f>AND(#REF!,"AAAAAFPv7Sg=")</f>
        <v>#REF!</v>
      </c>
      <c r="AP64" t="e">
        <f>AND(#REF!,"AAAAAFPv7Sk=")</f>
        <v>#REF!</v>
      </c>
      <c r="AQ64" t="e">
        <f>AND(#REF!,"AAAAAFPv7So=")</f>
        <v>#REF!</v>
      </c>
      <c r="AR64" t="e">
        <f>AND(#REF!,"AAAAAFPv7Ss=")</f>
        <v>#REF!</v>
      </c>
      <c r="AS64" t="e">
        <f>AND(#REF!,"AAAAAFPv7Sw=")</f>
        <v>#REF!</v>
      </c>
      <c r="AT64" t="e">
        <f>AND(#REF!,"AAAAAFPv7S0=")</f>
        <v>#REF!</v>
      </c>
      <c r="AU64" t="e">
        <f>AND(#REF!,"AAAAAFPv7S4=")</f>
        <v>#REF!</v>
      </c>
      <c r="AV64" t="e">
        <f>AND(#REF!,"AAAAAFPv7S8=")</f>
        <v>#REF!</v>
      </c>
      <c r="AW64" t="e">
        <f>AND(#REF!,"AAAAAFPv7TA=")</f>
        <v>#REF!</v>
      </c>
      <c r="AX64" t="e">
        <f>AND(#REF!,"AAAAAFPv7TE=")</f>
        <v>#REF!</v>
      </c>
      <c r="AY64" t="e">
        <f>AND(#REF!,"AAAAAFPv7TI=")</f>
        <v>#REF!</v>
      </c>
      <c r="AZ64" t="e">
        <f>IF(#REF!,"AAAAAFPv7TM=",0)</f>
        <v>#REF!</v>
      </c>
      <c r="BA64" t="e">
        <f>AND(#REF!,"AAAAAFPv7TQ=")</f>
        <v>#REF!</v>
      </c>
      <c r="BB64" t="e">
        <f>AND(#REF!,"AAAAAFPv7TU=")</f>
        <v>#REF!</v>
      </c>
      <c r="BC64" t="e">
        <f>AND(#REF!,"AAAAAFPv7TY=")</f>
        <v>#REF!</v>
      </c>
      <c r="BD64" t="e">
        <f>AND(#REF!,"AAAAAFPv7Tc=")</f>
        <v>#REF!</v>
      </c>
      <c r="BE64" t="e">
        <f>AND(#REF!,"AAAAAFPv7Tg=")</f>
        <v>#REF!</v>
      </c>
      <c r="BF64" t="e">
        <f>AND(#REF!,"AAAAAFPv7Tk=")</f>
        <v>#REF!</v>
      </c>
      <c r="BG64" t="e">
        <f>AND(#REF!,"AAAAAFPv7To=")</f>
        <v>#REF!</v>
      </c>
      <c r="BH64" t="e">
        <f>AND(#REF!,"AAAAAFPv7Ts=")</f>
        <v>#REF!</v>
      </c>
      <c r="BI64" t="e">
        <f>AND(#REF!,"AAAAAFPv7Tw=")</f>
        <v>#REF!</v>
      </c>
      <c r="BJ64" t="e">
        <f>AND(#REF!,"AAAAAFPv7T0=")</f>
        <v>#REF!</v>
      </c>
      <c r="BK64" t="e">
        <f>AND(#REF!,"AAAAAFPv7T4=")</f>
        <v>#REF!</v>
      </c>
      <c r="BL64" t="e">
        <f>AND(#REF!,"AAAAAFPv7T8=")</f>
        <v>#REF!</v>
      </c>
      <c r="BM64" t="e">
        <f>AND(#REF!,"AAAAAFPv7UA=")</f>
        <v>#REF!</v>
      </c>
      <c r="BN64" t="e">
        <f>AND(#REF!,"AAAAAFPv7UE=")</f>
        <v>#REF!</v>
      </c>
      <c r="BO64" t="e">
        <f>AND(#REF!,"AAAAAFPv7UI=")</f>
        <v>#REF!</v>
      </c>
      <c r="BP64" t="e">
        <f>AND(#REF!,"AAAAAFPv7UM=")</f>
        <v>#REF!</v>
      </c>
      <c r="BQ64" t="e">
        <f>AND(#REF!,"AAAAAFPv7UQ=")</f>
        <v>#REF!</v>
      </c>
      <c r="BR64" t="e">
        <f>AND(#REF!,"AAAAAFPv7UU=")</f>
        <v>#REF!</v>
      </c>
      <c r="BS64" t="e">
        <f>AND(#REF!,"AAAAAFPv7UY=")</f>
        <v>#REF!</v>
      </c>
      <c r="BT64" t="e">
        <f>AND(#REF!,"AAAAAFPv7Uc=")</f>
        <v>#REF!</v>
      </c>
      <c r="BU64" t="e">
        <f>AND(#REF!,"AAAAAFPv7Ug=")</f>
        <v>#REF!</v>
      </c>
      <c r="BV64" t="e">
        <f>AND(#REF!,"AAAAAFPv7Uk=")</f>
        <v>#REF!</v>
      </c>
      <c r="BW64" t="e">
        <f>AND(#REF!,"AAAAAFPv7Uo=")</f>
        <v>#REF!</v>
      </c>
      <c r="BX64" t="e">
        <f>AND(#REF!,"AAAAAFPv7Us=")</f>
        <v>#REF!</v>
      </c>
      <c r="BY64" t="e">
        <f>AND(#REF!,"AAAAAFPv7Uw=")</f>
        <v>#REF!</v>
      </c>
      <c r="BZ64" t="e">
        <f>AND(#REF!,"AAAAAFPv7U0=")</f>
        <v>#REF!</v>
      </c>
      <c r="CA64" t="e">
        <f>AND(#REF!,"AAAAAFPv7U4=")</f>
        <v>#REF!</v>
      </c>
      <c r="CB64" t="e">
        <f>AND(#REF!,"AAAAAFPv7U8=")</f>
        <v>#REF!</v>
      </c>
      <c r="CC64" t="e">
        <f>AND(#REF!,"AAAAAFPv7VA=")</f>
        <v>#REF!</v>
      </c>
      <c r="CD64" t="e">
        <f>AND(#REF!,"AAAAAFPv7VE=")</f>
        <v>#REF!</v>
      </c>
      <c r="CE64" t="e">
        <f>AND(#REF!,"AAAAAFPv7VI=")</f>
        <v>#REF!</v>
      </c>
      <c r="CF64" t="e">
        <f>AND(#REF!,"AAAAAFPv7VM=")</f>
        <v>#REF!</v>
      </c>
      <c r="CG64" t="e">
        <f>AND(#REF!,"AAAAAFPv7VQ=")</f>
        <v>#REF!</v>
      </c>
      <c r="CH64" t="e">
        <f>AND(#REF!,"AAAAAFPv7VU=")</f>
        <v>#REF!</v>
      </c>
      <c r="CI64" t="e">
        <f>AND(#REF!,"AAAAAFPv7VY=")</f>
        <v>#REF!</v>
      </c>
      <c r="CJ64" t="e">
        <f>AND(#REF!,"AAAAAFPv7Vc=")</f>
        <v>#REF!</v>
      </c>
      <c r="CK64" t="e">
        <f>AND(#REF!,"AAAAAFPv7Vg=")</f>
        <v>#REF!</v>
      </c>
      <c r="CL64" t="e">
        <f>AND(#REF!,"AAAAAFPv7Vk=")</f>
        <v>#REF!</v>
      </c>
      <c r="CM64" t="e">
        <f>AND(#REF!,"AAAAAFPv7Vo=")</f>
        <v>#REF!</v>
      </c>
      <c r="CN64" t="e">
        <f>AND(#REF!,"AAAAAFPv7Vs=")</f>
        <v>#REF!</v>
      </c>
      <c r="CO64" t="e">
        <f>AND(#REF!,"AAAAAFPv7Vw=")</f>
        <v>#REF!</v>
      </c>
      <c r="CP64" t="e">
        <f>IF(#REF!,"AAAAAFPv7V0=",0)</f>
        <v>#REF!</v>
      </c>
      <c r="CQ64" t="e">
        <f>AND(#REF!,"AAAAAFPv7V4=")</f>
        <v>#REF!</v>
      </c>
      <c r="CR64" t="e">
        <f>AND(#REF!,"AAAAAFPv7V8=")</f>
        <v>#REF!</v>
      </c>
      <c r="CS64" t="e">
        <f>AND(#REF!,"AAAAAFPv7WA=")</f>
        <v>#REF!</v>
      </c>
      <c r="CT64" t="e">
        <f>AND(#REF!,"AAAAAFPv7WE=")</f>
        <v>#REF!</v>
      </c>
      <c r="CU64" t="e">
        <f>AND(#REF!,"AAAAAFPv7WI=")</f>
        <v>#REF!</v>
      </c>
      <c r="CV64" t="e">
        <f>AND(#REF!,"AAAAAFPv7WM=")</f>
        <v>#REF!</v>
      </c>
      <c r="CW64" t="e">
        <f>AND(#REF!,"AAAAAFPv7WQ=")</f>
        <v>#REF!</v>
      </c>
      <c r="CX64" t="e">
        <f>AND(#REF!,"AAAAAFPv7WU=")</f>
        <v>#REF!</v>
      </c>
      <c r="CY64" t="e">
        <f>AND(#REF!,"AAAAAFPv7WY=")</f>
        <v>#REF!</v>
      </c>
      <c r="CZ64" t="e">
        <f>AND(#REF!,"AAAAAFPv7Wc=")</f>
        <v>#REF!</v>
      </c>
      <c r="DA64" t="e">
        <f>AND(#REF!,"AAAAAFPv7Wg=")</f>
        <v>#REF!</v>
      </c>
      <c r="DB64" t="e">
        <f>AND(#REF!,"AAAAAFPv7Wk=")</f>
        <v>#REF!</v>
      </c>
      <c r="DC64" t="e">
        <f>AND(#REF!,"AAAAAFPv7Wo=")</f>
        <v>#REF!</v>
      </c>
      <c r="DD64" t="e">
        <f>AND(#REF!,"AAAAAFPv7Ws=")</f>
        <v>#REF!</v>
      </c>
      <c r="DE64" t="e">
        <f>AND(#REF!,"AAAAAFPv7Ww=")</f>
        <v>#REF!</v>
      </c>
      <c r="DF64" t="e">
        <f>AND(#REF!,"AAAAAFPv7W0=")</f>
        <v>#REF!</v>
      </c>
      <c r="DG64" t="e">
        <f>AND(#REF!,"AAAAAFPv7W4=")</f>
        <v>#REF!</v>
      </c>
      <c r="DH64" t="e">
        <f>AND(#REF!,"AAAAAFPv7W8=")</f>
        <v>#REF!</v>
      </c>
      <c r="DI64" t="e">
        <f>AND(#REF!,"AAAAAFPv7XA=")</f>
        <v>#REF!</v>
      </c>
      <c r="DJ64" t="e">
        <f>AND(#REF!,"AAAAAFPv7XE=")</f>
        <v>#REF!</v>
      </c>
      <c r="DK64" t="e">
        <f>AND(#REF!,"AAAAAFPv7XI=")</f>
        <v>#REF!</v>
      </c>
      <c r="DL64" t="e">
        <f>AND(#REF!,"AAAAAFPv7XM=")</f>
        <v>#REF!</v>
      </c>
      <c r="DM64" t="e">
        <f>AND(#REF!,"AAAAAFPv7XQ=")</f>
        <v>#REF!</v>
      </c>
      <c r="DN64" t="e">
        <f>AND(#REF!,"AAAAAFPv7XU=")</f>
        <v>#REF!</v>
      </c>
      <c r="DO64" t="e">
        <f>AND(#REF!,"AAAAAFPv7XY=")</f>
        <v>#REF!</v>
      </c>
      <c r="DP64" t="e">
        <f>AND(#REF!,"AAAAAFPv7Xc=")</f>
        <v>#REF!</v>
      </c>
      <c r="DQ64" t="e">
        <f>AND(#REF!,"AAAAAFPv7Xg=")</f>
        <v>#REF!</v>
      </c>
      <c r="DR64" t="e">
        <f>AND(#REF!,"AAAAAFPv7Xk=")</f>
        <v>#REF!</v>
      </c>
      <c r="DS64" t="e">
        <f>AND(#REF!,"AAAAAFPv7Xo=")</f>
        <v>#REF!</v>
      </c>
      <c r="DT64" t="e">
        <f>AND(#REF!,"AAAAAFPv7Xs=")</f>
        <v>#REF!</v>
      </c>
      <c r="DU64" t="e">
        <f>AND(#REF!,"AAAAAFPv7Xw=")</f>
        <v>#REF!</v>
      </c>
      <c r="DV64" t="e">
        <f>AND(#REF!,"AAAAAFPv7X0=")</f>
        <v>#REF!</v>
      </c>
      <c r="DW64" t="e">
        <f>AND(#REF!,"AAAAAFPv7X4=")</f>
        <v>#REF!</v>
      </c>
      <c r="DX64" t="e">
        <f>AND(#REF!,"AAAAAFPv7X8=")</f>
        <v>#REF!</v>
      </c>
      <c r="DY64" t="e">
        <f>AND(#REF!,"AAAAAFPv7YA=")</f>
        <v>#REF!</v>
      </c>
      <c r="DZ64" t="e">
        <f>AND(#REF!,"AAAAAFPv7YE=")</f>
        <v>#REF!</v>
      </c>
      <c r="EA64" t="e">
        <f>AND(#REF!,"AAAAAFPv7YI=")</f>
        <v>#REF!</v>
      </c>
      <c r="EB64" t="e">
        <f>AND(#REF!,"AAAAAFPv7YM=")</f>
        <v>#REF!</v>
      </c>
      <c r="EC64" t="e">
        <f>AND(#REF!,"AAAAAFPv7YQ=")</f>
        <v>#REF!</v>
      </c>
      <c r="ED64" t="e">
        <f>AND(#REF!,"AAAAAFPv7YU=")</f>
        <v>#REF!</v>
      </c>
      <c r="EE64" t="e">
        <f>AND(#REF!,"AAAAAFPv7YY=")</f>
        <v>#REF!</v>
      </c>
      <c r="EF64" t="e">
        <f>IF(#REF!,"AAAAAFPv7Yc=",0)</f>
        <v>#REF!</v>
      </c>
      <c r="EG64" t="e">
        <f>AND(#REF!,"AAAAAFPv7Yg=")</f>
        <v>#REF!</v>
      </c>
      <c r="EH64" t="e">
        <f>AND(#REF!,"AAAAAFPv7Yk=")</f>
        <v>#REF!</v>
      </c>
      <c r="EI64" t="e">
        <f>AND(#REF!,"AAAAAFPv7Yo=")</f>
        <v>#REF!</v>
      </c>
      <c r="EJ64" t="e">
        <f>AND(#REF!,"AAAAAFPv7Ys=")</f>
        <v>#REF!</v>
      </c>
      <c r="EK64" t="e">
        <f>AND(#REF!,"AAAAAFPv7Yw=")</f>
        <v>#REF!</v>
      </c>
      <c r="EL64" t="e">
        <f>AND(#REF!,"AAAAAFPv7Y0=")</f>
        <v>#REF!</v>
      </c>
      <c r="EM64" t="e">
        <f>AND(#REF!,"AAAAAFPv7Y4=")</f>
        <v>#REF!</v>
      </c>
      <c r="EN64" t="e">
        <f>AND(#REF!,"AAAAAFPv7Y8=")</f>
        <v>#REF!</v>
      </c>
      <c r="EO64" t="e">
        <f>AND(#REF!,"AAAAAFPv7ZA=")</f>
        <v>#REF!</v>
      </c>
      <c r="EP64" t="e">
        <f>AND(#REF!,"AAAAAFPv7ZE=")</f>
        <v>#REF!</v>
      </c>
      <c r="EQ64" t="e">
        <f>AND(#REF!,"AAAAAFPv7ZI=")</f>
        <v>#REF!</v>
      </c>
      <c r="ER64" t="e">
        <f>AND(#REF!,"AAAAAFPv7ZM=")</f>
        <v>#REF!</v>
      </c>
      <c r="ES64" t="e">
        <f>AND(#REF!,"AAAAAFPv7ZQ=")</f>
        <v>#REF!</v>
      </c>
      <c r="ET64" t="e">
        <f>AND(#REF!,"AAAAAFPv7ZU=")</f>
        <v>#REF!</v>
      </c>
      <c r="EU64" t="e">
        <f>AND(#REF!,"AAAAAFPv7ZY=")</f>
        <v>#REF!</v>
      </c>
      <c r="EV64" t="e">
        <f>AND(#REF!,"AAAAAFPv7Zc=")</f>
        <v>#REF!</v>
      </c>
      <c r="EW64" t="e">
        <f>AND(#REF!,"AAAAAFPv7Zg=")</f>
        <v>#REF!</v>
      </c>
      <c r="EX64" t="e">
        <f>AND(#REF!,"AAAAAFPv7Zk=")</f>
        <v>#REF!</v>
      </c>
      <c r="EY64" t="e">
        <f>AND(#REF!,"AAAAAFPv7Zo=")</f>
        <v>#REF!</v>
      </c>
      <c r="EZ64" t="e">
        <f>AND(#REF!,"AAAAAFPv7Zs=")</f>
        <v>#REF!</v>
      </c>
      <c r="FA64" t="e">
        <f>AND(#REF!,"AAAAAFPv7Zw=")</f>
        <v>#REF!</v>
      </c>
      <c r="FB64" t="e">
        <f>AND(#REF!,"AAAAAFPv7Z0=")</f>
        <v>#REF!</v>
      </c>
      <c r="FC64" t="e">
        <f>AND(#REF!,"AAAAAFPv7Z4=")</f>
        <v>#REF!</v>
      </c>
      <c r="FD64" t="e">
        <f>AND(#REF!,"AAAAAFPv7Z8=")</f>
        <v>#REF!</v>
      </c>
      <c r="FE64" t="e">
        <f>AND(#REF!,"AAAAAFPv7aA=")</f>
        <v>#REF!</v>
      </c>
      <c r="FF64" t="e">
        <f>AND(#REF!,"AAAAAFPv7aE=")</f>
        <v>#REF!</v>
      </c>
      <c r="FG64" t="e">
        <f>AND(#REF!,"AAAAAFPv7aI=")</f>
        <v>#REF!</v>
      </c>
      <c r="FH64" t="e">
        <f>AND(#REF!,"AAAAAFPv7aM=")</f>
        <v>#REF!</v>
      </c>
      <c r="FI64" t="e">
        <f>AND(#REF!,"AAAAAFPv7aQ=")</f>
        <v>#REF!</v>
      </c>
      <c r="FJ64" t="e">
        <f>AND(#REF!,"AAAAAFPv7aU=")</f>
        <v>#REF!</v>
      </c>
      <c r="FK64" t="e">
        <f>AND(#REF!,"AAAAAFPv7aY=")</f>
        <v>#REF!</v>
      </c>
      <c r="FL64" t="e">
        <f>AND(#REF!,"AAAAAFPv7ac=")</f>
        <v>#REF!</v>
      </c>
      <c r="FM64" t="e">
        <f>AND(#REF!,"AAAAAFPv7ag=")</f>
        <v>#REF!</v>
      </c>
      <c r="FN64" t="e">
        <f>AND(#REF!,"AAAAAFPv7ak=")</f>
        <v>#REF!</v>
      </c>
      <c r="FO64" t="e">
        <f>AND(#REF!,"AAAAAFPv7ao=")</f>
        <v>#REF!</v>
      </c>
      <c r="FP64" t="e">
        <f>AND(#REF!,"AAAAAFPv7as=")</f>
        <v>#REF!</v>
      </c>
      <c r="FQ64" t="e">
        <f>AND(#REF!,"AAAAAFPv7aw=")</f>
        <v>#REF!</v>
      </c>
      <c r="FR64" t="e">
        <f>AND(#REF!,"AAAAAFPv7a0=")</f>
        <v>#REF!</v>
      </c>
      <c r="FS64" t="e">
        <f>AND(#REF!,"AAAAAFPv7a4=")</f>
        <v>#REF!</v>
      </c>
      <c r="FT64" t="e">
        <f>AND(#REF!,"AAAAAFPv7a8=")</f>
        <v>#REF!</v>
      </c>
      <c r="FU64" t="e">
        <f>AND(#REF!,"AAAAAFPv7bA=")</f>
        <v>#REF!</v>
      </c>
      <c r="FV64" t="e">
        <f>IF(#REF!,"AAAAAFPv7bE=",0)</f>
        <v>#REF!</v>
      </c>
      <c r="FW64" t="e">
        <f>AND(#REF!,"AAAAAFPv7bI=")</f>
        <v>#REF!</v>
      </c>
      <c r="FX64" t="e">
        <f>AND(#REF!,"AAAAAFPv7bM=")</f>
        <v>#REF!</v>
      </c>
      <c r="FY64" t="e">
        <f>AND(#REF!,"AAAAAFPv7bQ=")</f>
        <v>#REF!</v>
      </c>
      <c r="FZ64" t="e">
        <f>AND(#REF!,"AAAAAFPv7bU=")</f>
        <v>#REF!</v>
      </c>
      <c r="GA64" t="e">
        <f>AND(#REF!,"AAAAAFPv7bY=")</f>
        <v>#REF!</v>
      </c>
      <c r="GB64" t="e">
        <f>AND(#REF!,"AAAAAFPv7bc=")</f>
        <v>#REF!</v>
      </c>
      <c r="GC64" t="e">
        <f>AND(#REF!,"AAAAAFPv7bg=")</f>
        <v>#REF!</v>
      </c>
      <c r="GD64" t="e">
        <f>AND(#REF!,"AAAAAFPv7bk=")</f>
        <v>#REF!</v>
      </c>
      <c r="GE64" t="e">
        <f>AND(#REF!,"AAAAAFPv7bo=")</f>
        <v>#REF!</v>
      </c>
      <c r="GF64" t="e">
        <f>AND(#REF!,"AAAAAFPv7bs=")</f>
        <v>#REF!</v>
      </c>
      <c r="GG64" t="e">
        <f>AND(#REF!,"AAAAAFPv7bw=")</f>
        <v>#REF!</v>
      </c>
      <c r="GH64" t="e">
        <f>AND(#REF!,"AAAAAFPv7b0=")</f>
        <v>#REF!</v>
      </c>
      <c r="GI64" t="e">
        <f>AND(#REF!,"AAAAAFPv7b4=")</f>
        <v>#REF!</v>
      </c>
      <c r="GJ64" t="e">
        <f>AND(#REF!,"AAAAAFPv7b8=")</f>
        <v>#REF!</v>
      </c>
      <c r="GK64" t="e">
        <f>AND(#REF!,"AAAAAFPv7cA=")</f>
        <v>#REF!</v>
      </c>
      <c r="GL64" t="e">
        <f>AND(#REF!,"AAAAAFPv7cE=")</f>
        <v>#REF!</v>
      </c>
      <c r="GM64" t="e">
        <f>AND(#REF!,"AAAAAFPv7cI=")</f>
        <v>#REF!</v>
      </c>
      <c r="GN64" t="e">
        <f>AND(#REF!,"AAAAAFPv7cM=")</f>
        <v>#REF!</v>
      </c>
      <c r="GO64" t="e">
        <f>AND(#REF!,"AAAAAFPv7cQ=")</f>
        <v>#REF!</v>
      </c>
      <c r="GP64" t="e">
        <f>AND(#REF!,"AAAAAFPv7cU=")</f>
        <v>#REF!</v>
      </c>
      <c r="GQ64" t="e">
        <f>AND(#REF!,"AAAAAFPv7cY=")</f>
        <v>#REF!</v>
      </c>
      <c r="GR64" t="e">
        <f>AND(#REF!,"AAAAAFPv7cc=")</f>
        <v>#REF!</v>
      </c>
      <c r="GS64" t="e">
        <f>AND(#REF!,"AAAAAFPv7cg=")</f>
        <v>#REF!</v>
      </c>
      <c r="GT64" t="e">
        <f>AND(#REF!,"AAAAAFPv7ck=")</f>
        <v>#REF!</v>
      </c>
      <c r="GU64" t="e">
        <f>AND(#REF!,"AAAAAFPv7co=")</f>
        <v>#REF!</v>
      </c>
      <c r="GV64" t="e">
        <f>AND(#REF!,"AAAAAFPv7cs=")</f>
        <v>#REF!</v>
      </c>
      <c r="GW64" t="e">
        <f>AND(#REF!,"AAAAAFPv7cw=")</f>
        <v>#REF!</v>
      </c>
      <c r="GX64" t="e">
        <f>AND(#REF!,"AAAAAFPv7c0=")</f>
        <v>#REF!</v>
      </c>
      <c r="GY64" t="e">
        <f>AND(#REF!,"AAAAAFPv7c4=")</f>
        <v>#REF!</v>
      </c>
      <c r="GZ64" t="e">
        <f>AND(#REF!,"AAAAAFPv7c8=")</f>
        <v>#REF!</v>
      </c>
      <c r="HA64" t="e">
        <f>AND(#REF!,"AAAAAFPv7dA=")</f>
        <v>#REF!</v>
      </c>
      <c r="HB64" t="e">
        <f>AND(#REF!,"AAAAAFPv7dE=")</f>
        <v>#REF!</v>
      </c>
      <c r="HC64" t="e">
        <f>AND(#REF!,"AAAAAFPv7dI=")</f>
        <v>#REF!</v>
      </c>
      <c r="HD64" t="e">
        <f>AND(#REF!,"AAAAAFPv7dM=")</f>
        <v>#REF!</v>
      </c>
      <c r="HE64" t="e">
        <f>AND(#REF!,"AAAAAFPv7dQ=")</f>
        <v>#REF!</v>
      </c>
      <c r="HF64" t="e">
        <f>AND(#REF!,"AAAAAFPv7dU=")</f>
        <v>#REF!</v>
      </c>
      <c r="HG64" t="e">
        <f>AND(#REF!,"AAAAAFPv7dY=")</f>
        <v>#REF!</v>
      </c>
      <c r="HH64" t="e">
        <f>AND(#REF!,"AAAAAFPv7dc=")</f>
        <v>#REF!</v>
      </c>
      <c r="HI64" t="e">
        <f>AND(#REF!,"AAAAAFPv7dg=")</f>
        <v>#REF!</v>
      </c>
      <c r="HJ64" t="e">
        <f>AND(#REF!,"AAAAAFPv7dk=")</f>
        <v>#REF!</v>
      </c>
      <c r="HK64" t="e">
        <f>AND(#REF!,"AAAAAFPv7do=")</f>
        <v>#REF!</v>
      </c>
      <c r="HL64" t="e">
        <f>IF(#REF!,"AAAAAFPv7ds=",0)</f>
        <v>#REF!</v>
      </c>
      <c r="HM64" t="e">
        <f>AND(#REF!,"AAAAAFPv7dw=")</f>
        <v>#REF!</v>
      </c>
      <c r="HN64" t="e">
        <f>AND(#REF!,"AAAAAFPv7d0=")</f>
        <v>#REF!</v>
      </c>
      <c r="HO64" t="e">
        <f>AND(#REF!,"AAAAAFPv7d4=")</f>
        <v>#REF!</v>
      </c>
      <c r="HP64" t="e">
        <f>AND(#REF!,"AAAAAFPv7d8=")</f>
        <v>#REF!</v>
      </c>
      <c r="HQ64" t="e">
        <f>AND(#REF!,"AAAAAFPv7eA=")</f>
        <v>#REF!</v>
      </c>
      <c r="HR64" t="e">
        <f>AND(#REF!,"AAAAAFPv7eE=")</f>
        <v>#REF!</v>
      </c>
      <c r="HS64" t="e">
        <f>AND(#REF!,"AAAAAFPv7eI=")</f>
        <v>#REF!</v>
      </c>
      <c r="HT64" t="e">
        <f>AND(#REF!,"AAAAAFPv7eM=")</f>
        <v>#REF!</v>
      </c>
      <c r="HU64" t="e">
        <f>AND(#REF!,"AAAAAFPv7eQ=")</f>
        <v>#REF!</v>
      </c>
      <c r="HV64" t="e">
        <f>AND(#REF!,"AAAAAFPv7eU=")</f>
        <v>#REF!</v>
      </c>
      <c r="HW64" t="e">
        <f>AND(#REF!,"AAAAAFPv7eY=")</f>
        <v>#REF!</v>
      </c>
      <c r="HX64" t="e">
        <f>AND(#REF!,"AAAAAFPv7ec=")</f>
        <v>#REF!</v>
      </c>
      <c r="HY64" t="e">
        <f>AND(#REF!,"AAAAAFPv7eg=")</f>
        <v>#REF!</v>
      </c>
      <c r="HZ64" t="e">
        <f>AND(#REF!,"AAAAAFPv7ek=")</f>
        <v>#REF!</v>
      </c>
      <c r="IA64" t="e">
        <f>AND(#REF!,"AAAAAFPv7eo=")</f>
        <v>#REF!</v>
      </c>
      <c r="IB64" t="e">
        <f>AND(#REF!,"AAAAAFPv7es=")</f>
        <v>#REF!</v>
      </c>
      <c r="IC64" t="e">
        <f>AND(#REF!,"AAAAAFPv7ew=")</f>
        <v>#REF!</v>
      </c>
      <c r="ID64" t="e">
        <f>AND(#REF!,"AAAAAFPv7e0=")</f>
        <v>#REF!</v>
      </c>
      <c r="IE64" t="e">
        <f>AND(#REF!,"AAAAAFPv7e4=")</f>
        <v>#REF!</v>
      </c>
      <c r="IF64" t="e">
        <f>AND(#REF!,"AAAAAFPv7e8=")</f>
        <v>#REF!</v>
      </c>
      <c r="IG64" t="e">
        <f>AND(#REF!,"AAAAAFPv7fA=")</f>
        <v>#REF!</v>
      </c>
      <c r="IH64" t="e">
        <f>AND(#REF!,"AAAAAFPv7fE=")</f>
        <v>#REF!</v>
      </c>
      <c r="II64" t="e">
        <f>AND(#REF!,"AAAAAFPv7fI=")</f>
        <v>#REF!</v>
      </c>
      <c r="IJ64" t="e">
        <f>AND(#REF!,"AAAAAFPv7fM=")</f>
        <v>#REF!</v>
      </c>
      <c r="IK64" t="e">
        <f>AND(#REF!,"AAAAAFPv7fQ=")</f>
        <v>#REF!</v>
      </c>
      <c r="IL64" t="e">
        <f>AND(#REF!,"AAAAAFPv7fU=")</f>
        <v>#REF!</v>
      </c>
      <c r="IM64" t="e">
        <f>AND(#REF!,"AAAAAFPv7fY=")</f>
        <v>#REF!</v>
      </c>
      <c r="IN64" t="e">
        <f>AND(#REF!,"AAAAAFPv7fc=")</f>
        <v>#REF!</v>
      </c>
      <c r="IO64" t="e">
        <f>AND(#REF!,"AAAAAFPv7fg=")</f>
        <v>#REF!</v>
      </c>
      <c r="IP64" t="e">
        <f>AND(#REF!,"AAAAAFPv7fk=")</f>
        <v>#REF!</v>
      </c>
      <c r="IQ64" t="e">
        <f>AND(#REF!,"AAAAAFPv7fo=")</f>
        <v>#REF!</v>
      </c>
      <c r="IR64" t="e">
        <f>AND(#REF!,"AAAAAFPv7fs=")</f>
        <v>#REF!</v>
      </c>
      <c r="IS64" t="e">
        <f>AND(#REF!,"AAAAAFPv7fw=")</f>
        <v>#REF!</v>
      </c>
      <c r="IT64" t="e">
        <f>AND(#REF!,"AAAAAFPv7f0=")</f>
        <v>#REF!</v>
      </c>
      <c r="IU64" t="e">
        <f>AND(#REF!,"AAAAAFPv7f4=")</f>
        <v>#REF!</v>
      </c>
      <c r="IV64" t="e">
        <f>AND(#REF!,"AAAAAFPv7f8=")</f>
        <v>#REF!</v>
      </c>
    </row>
    <row r="65" spans="1:256">
      <c r="A65" t="e">
        <f>AND(#REF!,"AAAAAG5/vgA=")</f>
        <v>#REF!</v>
      </c>
      <c r="B65" t="e">
        <f>AND(#REF!,"AAAAAG5/vgE=")</f>
        <v>#REF!</v>
      </c>
      <c r="C65" t="e">
        <f>AND(#REF!,"AAAAAG5/vgI=")</f>
        <v>#REF!</v>
      </c>
      <c r="D65" t="e">
        <f>AND(#REF!,"AAAAAG5/vgM=")</f>
        <v>#REF!</v>
      </c>
      <c r="E65" t="e">
        <f>AND(#REF!,"AAAAAG5/vgQ=")</f>
        <v>#REF!</v>
      </c>
      <c r="F65" t="e">
        <f>IF(#REF!,"AAAAAG5/vgU=",0)</f>
        <v>#REF!</v>
      </c>
      <c r="G65" t="e">
        <f>AND(#REF!,"AAAAAG5/vgY=")</f>
        <v>#REF!</v>
      </c>
      <c r="H65" t="e">
        <f>AND(#REF!,"AAAAAG5/vgc=")</f>
        <v>#REF!</v>
      </c>
      <c r="I65" t="e">
        <f>AND(#REF!,"AAAAAG5/vgg=")</f>
        <v>#REF!</v>
      </c>
      <c r="J65" t="e">
        <f>AND(#REF!,"AAAAAG5/vgk=")</f>
        <v>#REF!</v>
      </c>
      <c r="K65" t="e">
        <f>AND(#REF!,"AAAAAG5/vgo=")</f>
        <v>#REF!</v>
      </c>
      <c r="L65" t="e">
        <f>AND(#REF!,"AAAAAG5/vgs=")</f>
        <v>#REF!</v>
      </c>
      <c r="M65" t="e">
        <f>AND(#REF!,"AAAAAG5/vgw=")</f>
        <v>#REF!</v>
      </c>
      <c r="N65" t="e">
        <f>AND(#REF!,"AAAAAG5/vg0=")</f>
        <v>#REF!</v>
      </c>
      <c r="O65" t="e">
        <f>AND(#REF!,"AAAAAG5/vg4=")</f>
        <v>#REF!</v>
      </c>
      <c r="P65" t="e">
        <f>AND(#REF!,"AAAAAG5/vg8=")</f>
        <v>#REF!</v>
      </c>
      <c r="Q65" t="e">
        <f>AND(#REF!,"AAAAAG5/vhA=")</f>
        <v>#REF!</v>
      </c>
      <c r="R65" t="e">
        <f>AND(#REF!,"AAAAAG5/vhE=")</f>
        <v>#REF!</v>
      </c>
      <c r="S65" t="e">
        <f>AND(#REF!,"AAAAAG5/vhI=")</f>
        <v>#REF!</v>
      </c>
      <c r="T65" t="e">
        <f>AND(#REF!,"AAAAAG5/vhM=")</f>
        <v>#REF!</v>
      </c>
      <c r="U65" t="e">
        <f>AND(#REF!,"AAAAAG5/vhQ=")</f>
        <v>#REF!</v>
      </c>
      <c r="V65" t="e">
        <f>AND(#REF!,"AAAAAG5/vhU=")</f>
        <v>#REF!</v>
      </c>
      <c r="W65" t="e">
        <f>AND(#REF!,"AAAAAG5/vhY=")</f>
        <v>#REF!</v>
      </c>
      <c r="X65" t="e">
        <f>AND(#REF!,"AAAAAG5/vhc=")</f>
        <v>#REF!</v>
      </c>
      <c r="Y65" t="e">
        <f>AND(#REF!,"AAAAAG5/vhg=")</f>
        <v>#REF!</v>
      </c>
      <c r="Z65" t="e">
        <f>AND(#REF!,"AAAAAG5/vhk=")</f>
        <v>#REF!</v>
      </c>
      <c r="AA65" t="e">
        <f>AND(#REF!,"AAAAAG5/vho=")</f>
        <v>#REF!</v>
      </c>
      <c r="AB65" t="e">
        <f>AND(#REF!,"AAAAAG5/vhs=")</f>
        <v>#REF!</v>
      </c>
      <c r="AC65" t="e">
        <f>AND(#REF!,"AAAAAG5/vhw=")</f>
        <v>#REF!</v>
      </c>
      <c r="AD65" t="e">
        <f>AND(#REF!,"AAAAAG5/vh0=")</f>
        <v>#REF!</v>
      </c>
      <c r="AE65" t="e">
        <f>AND(#REF!,"AAAAAG5/vh4=")</f>
        <v>#REF!</v>
      </c>
      <c r="AF65" t="e">
        <f>AND(#REF!,"AAAAAG5/vh8=")</f>
        <v>#REF!</v>
      </c>
      <c r="AG65" t="e">
        <f>AND(#REF!,"AAAAAG5/viA=")</f>
        <v>#REF!</v>
      </c>
      <c r="AH65" t="e">
        <f>AND(#REF!,"AAAAAG5/viE=")</f>
        <v>#REF!</v>
      </c>
      <c r="AI65" t="e">
        <f>AND(#REF!,"AAAAAG5/viI=")</f>
        <v>#REF!</v>
      </c>
      <c r="AJ65" t="e">
        <f>AND(#REF!,"AAAAAG5/viM=")</f>
        <v>#REF!</v>
      </c>
      <c r="AK65" t="e">
        <f>AND(#REF!,"AAAAAG5/viQ=")</f>
        <v>#REF!</v>
      </c>
      <c r="AL65" t="e">
        <f>AND(#REF!,"AAAAAG5/viU=")</f>
        <v>#REF!</v>
      </c>
      <c r="AM65" t="e">
        <f>AND(#REF!,"AAAAAG5/viY=")</f>
        <v>#REF!</v>
      </c>
      <c r="AN65" t="e">
        <f>AND(#REF!,"AAAAAG5/vic=")</f>
        <v>#REF!</v>
      </c>
      <c r="AO65" t="e">
        <f>AND(#REF!,"AAAAAG5/vig=")</f>
        <v>#REF!</v>
      </c>
      <c r="AP65" t="e">
        <f>AND(#REF!,"AAAAAG5/vik=")</f>
        <v>#REF!</v>
      </c>
      <c r="AQ65" t="e">
        <f>AND(#REF!,"AAAAAG5/vio=")</f>
        <v>#REF!</v>
      </c>
      <c r="AR65" t="e">
        <f>AND(#REF!,"AAAAAG5/vis=")</f>
        <v>#REF!</v>
      </c>
      <c r="AS65" t="e">
        <f>AND(#REF!,"AAAAAG5/viw=")</f>
        <v>#REF!</v>
      </c>
      <c r="AT65" t="e">
        <f>AND(#REF!,"AAAAAG5/vi0=")</f>
        <v>#REF!</v>
      </c>
      <c r="AU65" t="e">
        <f>AND(#REF!,"AAAAAG5/vi4=")</f>
        <v>#REF!</v>
      </c>
      <c r="AV65" t="e">
        <f>IF(#REF!,"AAAAAG5/vi8=",0)</f>
        <v>#REF!</v>
      </c>
      <c r="AW65" t="e">
        <f>AND(#REF!,"AAAAAG5/vjA=")</f>
        <v>#REF!</v>
      </c>
      <c r="AX65" t="e">
        <f>AND(#REF!,"AAAAAG5/vjE=")</f>
        <v>#REF!</v>
      </c>
      <c r="AY65" t="e">
        <f>AND(#REF!,"AAAAAG5/vjI=")</f>
        <v>#REF!</v>
      </c>
      <c r="AZ65" t="e">
        <f>AND(#REF!,"AAAAAG5/vjM=")</f>
        <v>#REF!</v>
      </c>
      <c r="BA65" t="e">
        <f>AND(#REF!,"AAAAAG5/vjQ=")</f>
        <v>#REF!</v>
      </c>
      <c r="BB65" t="e">
        <f>AND(#REF!,"AAAAAG5/vjU=")</f>
        <v>#REF!</v>
      </c>
      <c r="BC65" t="e">
        <f>AND(#REF!,"AAAAAG5/vjY=")</f>
        <v>#REF!</v>
      </c>
      <c r="BD65" t="e">
        <f>AND(#REF!,"AAAAAG5/vjc=")</f>
        <v>#REF!</v>
      </c>
      <c r="BE65" t="e">
        <f>AND(#REF!,"AAAAAG5/vjg=")</f>
        <v>#REF!</v>
      </c>
      <c r="BF65" t="e">
        <f>AND(#REF!,"AAAAAG5/vjk=")</f>
        <v>#REF!</v>
      </c>
      <c r="BG65" t="e">
        <f>AND(#REF!,"AAAAAG5/vjo=")</f>
        <v>#REF!</v>
      </c>
      <c r="BH65" t="e">
        <f>AND(#REF!,"AAAAAG5/vjs=")</f>
        <v>#REF!</v>
      </c>
      <c r="BI65" t="e">
        <f>AND(#REF!,"AAAAAG5/vjw=")</f>
        <v>#REF!</v>
      </c>
      <c r="BJ65" t="e">
        <f>AND(#REF!,"AAAAAG5/vj0=")</f>
        <v>#REF!</v>
      </c>
      <c r="BK65" t="e">
        <f>AND(#REF!,"AAAAAG5/vj4=")</f>
        <v>#REF!</v>
      </c>
      <c r="BL65" t="e">
        <f>AND(#REF!,"AAAAAG5/vj8=")</f>
        <v>#REF!</v>
      </c>
      <c r="BM65" t="e">
        <f>AND(#REF!,"AAAAAG5/vkA=")</f>
        <v>#REF!</v>
      </c>
      <c r="BN65" t="e">
        <f>AND(#REF!,"AAAAAG5/vkE=")</f>
        <v>#REF!</v>
      </c>
      <c r="BO65" t="e">
        <f>AND(#REF!,"AAAAAG5/vkI=")</f>
        <v>#REF!</v>
      </c>
      <c r="BP65" t="e">
        <f>AND(#REF!,"AAAAAG5/vkM=")</f>
        <v>#REF!</v>
      </c>
      <c r="BQ65" t="e">
        <f>AND(#REF!,"AAAAAG5/vkQ=")</f>
        <v>#REF!</v>
      </c>
      <c r="BR65" t="e">
        <f>AND(#REF!,"AAAAAG5/vkU=")</f>
        <v>#REF!</v>
      </c>
      <c r="BS65" t="e">
        <f>AND(#REF!,"AAAAAG5/vkY=")</f>
        <v>#REF!</v>
      </c>
      <c r="BT65" t="e">
        <f>AND(#REF!,"AAAAAG5/vkc=")</f>
        <v>#REF!</v>
      </c>
      <c r="BU65" t="e">
        <f>AND(#REF!,"AAAAAG5/vkg=")</f>
        <v>#REF!</v>
      </c>
      <c r="BV65" t="e">
        <f>AND(#REF!,"AAAAAG5/vkk=")</f>
        <v>#REF!</v>
      </c>
      <c r="BW65" t="e">
        <f>AND(#REF!,"AAAAAG5/vko=")</f>
        <v>#REF!</v>
      </c>
      <c r="BX65" t="e">
        <f>AND(#REF!,"AAAAAG5/vks=")</f>
        <v>#REF!</v>
      </c>
      <c r="BY65" t="e">
        <f>AND(#REF!,"AAAAAG5/vkw=")</f>
        <v>#REF!</v>
      </c>
      <c r="BZ65" t="e">
        <f>AND(#REF!,"AAAAAG5/vk0=")</f>
        <v>#REF!</v>
      </c>
      <c r="CA65" t="e">
        <f>AND(#REF!,"AAAAAG5/vk4=")</f>
        <v>#REF!</v>
      </c>
      <c r="CB65" t="e">
        <f>AND(#REF!,"AAAAAG5/vk8=")</f>
        <v>#REF!</v>
      </c>
      <c r="CC65" t="e">
        <f>AND(#REF!,"AAAAAG5/vlA=")</f>
        <v>#REF!</v>
      </c>
      <c r="CD65" t="e">
        <f>AND(#REF!,"AAAAAG5/vlE=")</f>
        <v>#REF!</v>
      </c>
      <c r="CE65" t="e">
        <f>AND(#REF!,"AAAAAG5/vlI=")</f>
        <v>#REF!</v>
      </c>
      <c r="CF65" t="e">
        <f>AND(#REF!,"AAAAAG5/vlM=")</f>
        <v>#REF!</v>
      </c>
      <c r="CG65" t="e">
        <f>AND(#REF!,"AAAAAG5/vlQ=")</f>
        <v>#REF!</v>
      </c>
      <c r="CH65" t="e">
        <f>AND(#REF!,"AAAAAG5/vlU=")</f>
        <v>#REF!</v>
      </c>
      <c r="CI65" t="e">
        <f>AND(#REF!,"AAAAAG5/vlY=")</f>
        <v>#REF!</v>
      </c>
      <c r="CJ65" t="e">
        <f>AND(#REF!,"AAAAAG5/vlc=")</f>
        <v>#REF!</v>
      </c>
      <c r="CK65" t="e">
        <f>AND(#REF!,"AAAAAG5/vlg=")</f>
        <v>#REF!</v>
      </c>
      <c r="CL65" t="e">
        <f>IF(#REF!,"AAAAAG5/vlk=",0)</f>
        <v>#REF!</v>
      </c>
      <c r="CM65" t="e">
        <f>AND(#REF!,"AAAAAG5/vlo=")</f>
        <v>#REF!</v>
      </c>
      <c r="CN65" t="e">
        <f>AND(#REF!,"AAAAAG5/vls=")</f>
        <v>#REF!</v>
      </c>
      <c r="CO65" t="e">
        <f>AND(#REF!,"AAAAAG5/vlw=")</f>
        <v>#REF!</v>
      </c>
      <c r="CP65" t="e">
        <f>AND(#REF!,"AAAAAG5/vl0=")</f>
        <v>#REF!</v>
      </c>
      <c r="CQ65" t="e">
        <f>AND(#REF!,"AAAAAG5/vl4=")</f>
        <v>#REF!</v>
      </c>
      <c r="CR65" t="e">
        <f>AND(#REF!,"AAAAAG5/vl8=")</f>
        <v>#REF!</v>
      </c>
      <c r="CS65" t="e">
        <f>AND(#REF!,"AAAAAG5/vmA=")</f>
        <v>#REF!</v>
      </c>
      <c r="CT65" t="e">
        <f>AND(#REF!,"AAAAAG5/vmE=")</f>
        <v>#REF!</v>
      </c>
      <c r="CU65" t="e">
        <f>AND(#REF!,"AAAAAG5/vmI=")</f>
        <v>#REF!</v>
      </c>
      <c r="CV65" t="e">
        <f>AND(#REF!,"AAAAAG5/vmM=")</f>
        <v>#REF!</v>
      </c>
      <c r="CW65" t="e">
        <f>AND(#REF!,"AAAAAG5/vmQ=")</f>
        <v>#REF!</v>
      </c>
      <c r="CX65" t="e">
        <f>AND(#REF!,"AAAAAG5/vmU=")</f>
        <v>#REF!</v>
      </c>
      <c r="CY65" t="e">
        <f>AND(#REF!,"AAAAAG5/vmY=")</f>
        <v>#REF!</v>
      </c>
      <c r="CZ65" t="e">
        <f>AND(#REF!,"AAAAAG5/vmc=")</f>
        <v>#REF!</v>
      </c>
      <c r="DA65" t="e">
        <f>AND(#REF!,"AAAAAG5/vmg=")</f>
        <v>#REF!</v>
      </c>
      <c r="DB65" t="e">
        <f>AND(#REF!,"AAAAAG5/vmk=")</f>
        <v>#REF!</v>
      </c>
      <c r="DC65" t="e">
        <f>AND(#REF!,"AAAAAG5/vmo=")</f>
        <v>#REF!</v>
      </c>
      <c r="DD65" t="e">
        <f>AND(#REF!,"AAAAAG5/vms=")</f>
        <v>#REF!</v>
      </c>
      <c r="DE65" t="e">
        <f>AND(#REF!,"AAAAAG5/vmw=")</f>
        <v>#REF!</v>
      </c>
      <c r="DF65" t="e">
        <f>AND(#REF!,"AAAAAG5/vm0=")</f>
        <v>#REF!</v>
      </c>
      <c r="DG65" t="e">
        <f>AND(#REF!,"AAAAAG5/vm4=")</f>
        <v>#REF!</v>
      </c>
      <c r="DH65" t="e">
        <f>AND(#REF!,"AAAAAG5/vm8=")</f>
        <v>#REF!</v>
      </c>
      <c r="DI65" t="e">
        <f>AND(#REF!,"AAAAAG5/vnA=")</f>
        <v>#REF!</v>
      </c>
      <c r="DJ65" t="e">
        <f>AND(#REF!,"AAAAAG5/vnE=")</f>
        <v>#REF!</v>
      </c>
      <c r="DK65" t="e">
        <f>AND(#REF!,"AAAAAG5/vnI=")</f>
        <v>#REF!</v>
      </c>
      <c r="DL65" t="e">
        <f>AND(#REF!,"AAAAAG5/vnM=")</f>
        <v>#REF!</v>
      </c>
      <c r="DM65" t="e">
        <f>AND(#REF!,"AAAAAG5/vnQ=")</f>
        <v>#REF!</v>
      </c>
      <c r="DN65" t="e">
        <f>AND(#REF!,"AAAAAG5/vnU=")</f>
        <v>#REF!</v>
      </c>
      <c r="DO65" t="e">
        <f>AND(#REF!,"AAAAAG5/vnY=")</f>
        <v>#REF!</v>
      </c>
      <c r="DP65" t="e">
        <f>AND(#REF!,"AAAAAG5/vnc=")</f>
        <v>#REF!</v>
      </c>
      <c r="DQ65" t="e">
        <f>AND(#REF!,"AAAAAG5/vng=")</f>
        <v>#REF!</v>
      </c>
      <c r="DR65" t="e">
        <f>AND(#REF!,"AAAAAG5/vnk=")</f>
        <v>#REF!</v>
      </c>
      <c r="DS65" t="e">
        <f>AND(#REF!,"AAAAAG5/vno=")</f>
        <v>#REF!</v>
      </c>
      <c r="DT65" t="e">
        <f>AND(#REF!,"AAAAAG5/vns=")</f>
        <v>#REF!</v>
      </c>
      <c r="DU65" t="e">
        <f>AND(#REF!,"AAAAAG5/vnw=")</f>
        <v>#REF!</v>
      </c>
      <c r="DV65" t="e">
        <f>AND(#REF!,"AAAAAG5/vn0=")</f>
        <v>#REF!</v>
      </c>
      <c r="DW65" t="e">
        <f>AND(#REF!,"AAAAAG5/vn4=")</f>
        <v>#REF!</v>
      </c>
      <c r="DX65" t="e">
        <f>AND(#REF!,"AAAAAG5/vn8=")</f>
        <v>#REF!</v>
      </c>
      <c r="DY65" t="e">
        <f>AND(#REF!,"AAAAAG5/voA=")</f>
        <v>#REF!</v>
      </c>
      <c r="DZ65" t="e">
        <f>AND(#REF!,"AAAAAG5/voE=")</f>
        <v>#REF!</v>
      </c>
      <c r="EA65" t="e">
        <f>AND(#REF!,"AAAAAG5/voI=")</f>
        <v>#REF!</v>
      </c>
      <c r="EB65" t="e">
        <f>IF(#REF!,"AAAAAG5/voM=",0)</f>
        <v>#REF!</v>
      </c>
      <c r="EC65" t="e">
        <f>AND(#REF!,"AAAAAG5/voQ=")</f>
        <v>#REF!</v>
      </c>
      <c r="ED65" t="e">
        <f>AND(#REF!,"AAAAAG5/voU=")</f>
        <v>#REF!</v>
      </c>
      <c r="EE65" t="e">
        <f>AND(#REF!,"AAAAAG5/voY=")</f>
        <v>#REF!</v>
      </c>
      <c r="EF65" t="e">
        <f>AND(#REF!,"AAAAAG5/voc=")</f>
        <v>#REF!</v>
      </c>
      <c r="EG65" t="e">
        <f>AND(#REF!,"AAAAAG5/vog=")</f>
        <v>#REF!</v>
      </c>
      <c r="EH65" t="e">
        <f>AND(#REF!,"AAAAAG5/vok=")</f>
        <v>#REF!</v>
      </c>
      <c r="EI65" t="e">
        <f>AND(#REF!,"AAAAAG5/voo=")</f>
        <v>#REF!</v>
      </c>
      <c r="EJ65" t="e">
        <f>AND(#REF!,"AAAAAG5/vos=")</f>
        <v>#REF!</v>
      </c>
      <c r="EK65" t="e">
        <f>AND(#REF!,"AAAAAG5/vow=")</f>
        <v>#REF!</v>
      </c>
      <c r="EL65" t="e">
        <f>AND(#REF!,"AAAAAG5/vo0=")</f>
        <v>#REF!</v>
      </c>
      <c r="EM65" t="e">
        <f>AND(#REF!,"AAAAAG5/vo4=")</f>
        <v>#REF!</v>
      </c>
      <c r="EN65" t="e">
        <f>AND(#REF!,"AAAAAG5/vo8=")</f>
        <v>#REF!</v>
      </c>
      <c r="EO65" t="e">
        <f>AND(#REF!,"AAAAAG5/vpA=")</f>
        <v>#REF!</v>
      </c>
      <c r="EP65" t="e">
        <f>AND(#REF!,"AAAAAG5/vpE=")</f>
        <v>#REF!</v>
      </c>
      <c r="EQ65" t="e">
        <f>AND(#REF!,"AAAAAG5/vpI=")</f>
        <v>#REF!</v>
      </c>
      <c r="ER65" t="e">
        <f>AND(#REF!,"AAAAAG5/vpM=")</f>
        <v>#REF!</v>
      </c>
      <c r="ES65" t="e">
        <f>AND(#REF!,"AAAAAG5/vpQ=")</f>
        <v>#REF!</v>
      </c>
      <c r="ET65" t="e">
        <f>AND(#REF!,"AAAAAG5/vpU=")</f>
        <v>#REF!</v>
      </c>
      <c r="EU65" t="e">
        <f>AND(#REF!,"AAAAAG5/vpY=")</f>
        <v>#REF!</v>
      </c>
      <c r="EV65" t="e">
        <f>AND(#REF!,"AAAAAG5/vpc=")</f>
        <v>#REF!</v>
      </c>
      <c r="EW65" t="e">
        <f>AND(#REF!,"AAAAAG5/vpg=")</f>
        <v>#REF!</v>
      </c>
      <c r="EX65" t="e">
        <f>AND(#REF!,"AAAAAG5/vpk=")</f>
        <v>#REF!</v>
      </c>
      <c r="EY65" t="e">
        <f>AND(#REF!,"AAAAAG5/vpo=")</f>
        <v>#REF!</v>
      </c>
      <c r="EZ65" t="e">
        <f>AND(#REF!,"AAAAAG5/vps=")</f>
        <v>#REF!</v>
      </c>
      <c r="FA65" t="e">
        <f>AND(#REF!,"AAAAAG5/vpw=")</f>
        <v>#REF!</v>
      </c>
      <c r="FB65" t="e">
        <f>AND(#REF!,"AAAAAG5/vp0=")</f>
        <v>#REF!</v>
      </c>
      <c r="FC65" t="e">
        <f>AND(#REF!,"AAAAAG5/vp4=")</f>
        <v>#REF!</v>
      </c>
      <c r="FD65" t="e">
        <f>AND(#REF!,"AAAAAG5/vp8=")</f>
        <v>#REF!</v>
      </c>
      <c r="FE65" t="e">
        <f>AND(#REF!,"AAAAAG5/vqA=")</f>
        <v>#REF!</v>
      </c>
      <c r="FF65" t="e">
        <f>AND(#REF!,"AAAAAG5/vqE=")</f>
        <v>#REF!</v>
      </c>
      <c r="FG65" t="e">
        <f>AND(#REF!,"AAAAAG5/vqI=")</f>
        <v>#REF!</v>
      </c>
      <c r="FH65" t="e">
        <f>AND(#REF!,"AAAAAG5/vqM=")</f>
        <v>#REF!</v>
      </c>
      <c r="FI65" t="e">
        <f>AND(#REF!,"AAAAAG5/vqQ=")</f>
        <v>#REF!</v>
      </c>
      <c r="FJ65" t="e">
        <f>AND(#REF!,"AAAAAG5/vqU=")</f>
        <v>#REF!</v>
      </c>
      <c r="FK65" t="e">
        <f>AND(#REF!,"AAAAAG5/vqY=")</f>
        <v>#REF!</v>
      </c>
      <c r="FL65" t="e">
        <f>AND(#REF!,"AAAAAG5/vqc=")</f>
        <v>#REF!</v>
      </c>
      <c r="FM65" t="e">
        <f>AND(#REF!,"AAAAAG5/vqg=")</f>
        <v>#REF!</v>
      </c>
      <c r="FN65" t="e">
        <f>AND(#REF!,"AAAAAG5/vqk=")</f>
        <v>#REF!</v>
      </c>
      <c r="FO65" t="e">
        <f>AND(#REF!,"AAAAAG5/vqo=")</f>
        <v>#REF!</v>
      </c>
      <c r="FP65" t="e">
        <f>AND(#REF!,"AAAAAG5/vqs=")</f>
        <v>#REF!</v>
      </c>
      <c r="FQ65" t="e">
        <f>AND(#REF!,"AAAAAG5/vqw=")</f>
        <v>#REF!</v>
      </c>
      <c r="FR65" t="e">
        <f>IF(#REF!,"AAAAAG5/vq0=",0)</f>
        <v>#REF!</v>
      </c>
      <c r="FS65" t="e">
        <f>AND(#REF!,"AAAAAG5/vq4=")</f>
        <v>#REF!</v>
      </c>
      <c r="FT65" t="e">
        <f>AND(#REF!,"AAAAAG5/vq8=")</f>
        <v>#REF!</v>
      </c>
      <c r="FU65" t="e">
        <f>AND(#REF!,"AAAAAG5/vrA=")</f>
        <v>#REF!</v>
      </c>
      <c r="FV65" t="e">
        <f>AND(#REF!,"AAAAAG5/vrE=")</f>
        <v>#REF!</v>
      </c>
      <c r="FW65" t="e">
        <f>AND(#REF!,"AAAAAG5/vrI=")</f>
        <v>#REF!</v>
      </c>
      <c r="FX65" t="e">
        <f>AND(#REF!,"AAAAAG5/vrM=")</f>
        <v>#REF!</v>
      </c>
      <c r="FY65" t="e">
        <f>AND(#REF!,"AAAAAG5/vrQ=")</f>
        <v>#REF!</v>
      </c>
      <c r="FZ65" t="e">
        <f>AND(#REF!,"AAAAAG5/vrU=")</f>
        <v>#REF!</v>
      </c>
      <c r="GA65" t="e">
        <f>AND(#REF!,"AAAAAG5/vrY=")</f>
        <v>#REF!</v>
      </c>
      <c r="GB65" t="e">
        <f>AND(#REF!,"AAAAAG5/vrc=")</f>
        <v>#REF!</v>
      </c>
      <c r="GC65" t="e">
        <f>AND(#REF!,"AAAAAG5/vrg=")</f>
        <v>#REF!</v>
      </c>
      <c r="GD65" t="e">
        <f>AND(#REF!,"AAAAAG5/vrk=")</f>
        <v>#REF!</v>
      </c>
      <c r="GE65" t="e">
        <f>AND(#REF!,"AAAAAG5/vro=")</f>
        <v>#REF!</v>
      </c>
      <c r="GF65" t="e">
        <f>AND(#REF!,"AAAAAG5/vrs=")</f>
        <v>#REF!</v>
      </c>
      <c r="GG65" t="e">
        <f>AND(#REF!,"AAAAAG5/vrw=")</f>
        <v>#REF!</v>
      </c>
      <c r="GH65" t="e">
        <f>AND(#REF!,"AAAAAG5/vr0=")</f>
        <v>#REF!</v>
      </c>
      <c r="GI65" t="e">
        <f>AND(#REF!,"AAAAAG5/vr4=")</f>
        <v>#REF!</v>
      </c>
      <c r="GJ65" t="e">
        <f>AND(#REF!,"AAAAAG5/vr8=")</f>
        <v>#REF!</v>
      </c>
      <c r="GK65" t="e">
        <f>AND(#REF!,"AAAAAG5/vsA=")</f>
        <v>#REF!</v>
      </c>
      <c r="GL65" t="e">
        <f>AND(#REF!,"AAAAAG5/vsE=")</f>
        <v>#REF!</v>
      </c>
      <c r="GM65" t="e">
        <f>AND(#REF!,"AAAAAG5/vsI=")</f>
        <v>#REF!</v>
      </c>
      <c r="GN65" t="e">
        <f>AND(#REF!,"AAAAAG5/vsM=")</f>
        <v>#REF!</v>
      </c>
      <c r="GO65" t="e">
        <f>AND(#REF!,"AAAAAG5/vsQ=")</f>
        <v>#REF!</v>
      </c>
      <c r="GP65" t="e">
        <f>AND(#REF!,"AAAAAG5/vsU=")</f>
        <v>#REF!</v>
      </c>
      <c r="GQ65" t="e">
        <f>AND(#REF!,"AAAAAG5/vsY=")</f>
        <v>#REF!</v>
      </c>
      <c r="GR65" t="e">
        <f>AND(#REF!,"AAAAAG5/vsc=")</f>
        <v>#REF!</v>
      </c>
      <c r="GS65" t="e">
        <f>AND(#REF!,"AAAAAG5/vsg=")</f>
        <v>#REF!</v>
      </c>
      <c r="GT65" t="e">
        <f>AND(#REF!,"AAAAAG5/vsk=")</f>
        <v>#REF!</v>
      </c>
      <c r="GU65" t="e">
        <f>AND(#REF!,"AAAAAG5/vso=")</f>
        <v>#REF!</v>
      </c>
      <c r="GV65" t="e">
        <f>AND(#REF!,"AAAAAG5/vss=")</f>
        <v>#REF!</v>
      </c>
      <c r="GW65" t="e">
        <f>AND(#REF!,"AAAAAG5/vsw=")</f>
        <v>#REF!</v>
      </c>
      <c r="GX65" t="e">
        <f>AND(#REF!,"AAAAAG5/vs0=")</f>
        <v>#REF!</v>
      </c>
      <c r="GY65" t="e">
        <f>AND(#REF!,"AAAAAG5/vs4=")</f>
        <v>#REF!</v>
      </c>
      <c r="GZ65" t="e">
        <f>AND(#REF!,"AAAAAG5/vs8=")</f>
        <v>#REF!</v>
      </c>
      <c r="HA65" t="e">
        <f>AND(#REF!,"AAAAAG5/vtA=")</f>
        <v>#REF!</v>
      </c>
      <c r="HB65" t="e">
        <f>AND(#REF!,"AAAAAG5/vtE=")</f>
        <v>#REF!</v>
      </c>
      <c r="HC65" t="e">
        <f>AND(#REF!,"AAAAAG5/vtI=")</f>
        <v>#REF!</v>
      </c>
      <c r="HD65" t="e">
        <f>AND(#REF!,"AAAAAG5/vtM=")</f>
        <v>#REF!</v>
      </c>
      <c r="HE65" t="e">
        <f>AND(#REF!,"AAAAAG5/vtQ=")</f>
        <v>#REF!</v>
      </c>
      <c r="HF65" t="e">
        <f>AND(#REF!,"AAAAAG5/vtU=")</f>
        <v>#REF!</v>
      </c>
      <c r="HG65" t="e">
        <f>AND(#REF!,"AAAAAG5/vtY=")</f>
        <v>#REF!</v>
      </c>
      <c r="HH65" t="e">
        <f>IF(#REF!,"AAAAAG5/vtc=",0)</f>
        <v>#REF!</v>
      </c>
      <c r="HI65" t="e">
        <f>AND(#REF!,"AAAAAG5/vtg=")</f>
        <v>#REF!</v>
      </c>
      <c r="HJ65" t="e">
        <f>AND(#REF!,"AAAAAG5/vtk=")</f>
        <v>#REF!</v>
      </c>
      <c r="HK65" t="e">
        <f>AND(#REF!,"AAAAAG5/vto=")</f>
        <v>#REF!</v>
      </c>
      <c r="HL65" t="e">
        <f>AND(#REF!,"AAAAAG5/vts=")</f>
        <v>#REF!</v>
      </c>
      <c r="HM65" t="e">
        <f>AND(#REF!,"AAAAAG5/vtw=")</f>
        <v>#REF!</v>
      </c>
      <c r="HN65" t="e">
        <f>AND(#REF!,"AAAAAG5/vt0=")</f>
        <v>#REF!</v>
      </c>
      <c r="HO65" t="e">
        <f>AND(#REF!,"AAAAAG5/vt4=")</f>
        <v>#REF!</v>
      </c>
      <c r="HP65" t="e">
        <f>AND(#REF!,"AAAAAG5/vt8=")</f>
        <v>#REF!</v>
      </c>
      <c r="HQ65" t="e">
        <f>AND(#REF!,"AAAAAG5/vuA=")</f>
        <v>#REF!</v>
      </c>
      <c r="HR65" t="e">
        <f>AND(#REF!,"AAAAAG5/vuE=")</f>
        <v>#REF!</v>
      </c>
      <c r="HS65" t="e">
        <f>AND(#REF!,"AAAAAG5/vuI=")</f>
        <v>#REF!</v>
      </c>
      <c r="HT65" t="e">
        <f>AND(#REF!,"AAAAAG5/vuM=")</f>
        <v>#REF!</v>
      </c>
      <c r="HU65" t="e">
        <f>AND(#REF!,"AAAAAG5/vuQ=")</f>
        <v>#REF!</v>
      </c>
      <c r="HV65" t="e">
        <f>AND(#REF!,"AAAAAG5/vuU=")</f>
        <v>#REF!</v>
      </c>
      <c r="HW65" t="e">
        <f>AND(#REF!,"AAAAAG5/vuY=")</f>
        <v>#REF!</v>
      </c>
      <c r="HX65" t="e">
        <f>AND(#REF!,"AAAAAG5/vuc=")</f>
        <v>#REF!</v>
      </c>
      <c r="HY65" t="e">
        <f>AND(#REF!,"AAAAAG5/vug=")</f>
        <v>#REF!</v>
      </c>
      <c r="HZ65" t="e">
        <f>AND(#REF!,"AAAAAG5/vuk=")</f>
        <v>#REF!</v>
      </c>
      <c r="IA65" t="e">
        <f>AND(#REF!,"AAAAAG5/vuo=")</f>
        <v>#REF!</v>
      </c>
      <c r="IB65" t="e">
        <f>AND(#REF!,"AAAAAG5/vus=")</f>
        <v>#REF!</v>
      </c>
      <c r="IC65" t="e">
        <f>AND(#REF!,"AAAAAG5/vuw=")</f>
        <v>#REF!</v>
      </c>
      <c r="ID65" t="e">
        <f>AND(#REF!,"AAAAAG5/vu0=")</f>
        <v>#REF!</v>
      </c>
      <c r="IE65" t="e">
        <f>AND(#REF!,"AAAAAG5/vu4=")</f>
        <v>#REF!</v>
      </c>
      <c r="IF65" t="e">
        <f>AND(#REF!,"AAAAAG5/vu8=")</f>
        <v>#REF!</v>
      </c>
      <c r="IG65" t="e">
        <f>AND(#REF!,"AAAAAG5/vvA=")</f>
        <v>#REF!</v>
      </c>
      <c r="IH65" t="e">
        <f>AND(#REF!,"AAAAAG5/vvE=")</f>
        <v>#REF!</v>
      </c>
      <c r="II65" t="e">
        <f>AND(#REF!,"AAAAAG5/vvI=")</f>
        <v>#REF!</v>
      </c>
      <c r="IJ65" t="e">
        <f>AND(#REF!,"AAAAAG5/vvM=")</f>
        <v>#REF!</v>
      </c>
      <c r="IK65" t="e">
        <f>AND(#REF!,"AAAAAG5/vvQ=")</f>
        <v>#REF!</v>
      </c>
      <c r="IL65" t="e">
        <f>AND(#REF!,"AAAAAG5/vvU=")</f>
        <v>#REF!</v>
      </c>
      <c r="IM65" t="e">
        <f>AND(#REF!,"AAAAAG5/vvY=")</f>
        <v>#REF!</v>
      </c>
      <c r="IN65" t="e">
        <f>AND(#REF!,"AAAAAG5/vvc=")</f>
        <v>#REF!</v>
      </c>
      <c r="IO65" t="e">
        <f>AND(#REF!,"AAAAAG5/vvg=")</f>
        <v>#REF!</v>
      </c>
      <c r="IP65" t="e">
        <f>AND(#REF!,"AAAAAG5/vvk=")</f>
        <v>#REF!</v>
      </c>
      <c r="IQ65" t="e">
        <f>AND(#REF!,"AAAAAG5/vvo=")</f>
        <v>#REF!</v>
      </c>
      <c r="IR65" t="e">
        <f>AND(#REF!,"AAAAAG5/vvs=")</f>
        <v>#REF!</v>
      </c>
      <c r="IS65" t="e">
        <f>AND(#REF!,"AAAAAG5/vvw=")</f>
        <v>#REF!</v>
      </c>
      <c r="IT65" t="e">
        <f>AND(#REF!,"AAAAAG5/vv0=")</f>
        <v>#REF!</v>
      </c>
      <c r="IU65" t="e">
        <f>AND(#REF!,"AAAAAG5/vv4=")</f>
        <v>#REF!</v>
      </c>
      <c r="IV65" t="e">
        <f>AND(#REF!,"AAAAAG5/vv8=")</f>
        <v>#REF!</v>
      </c>
    </row>
    <row r="66" spans="1:256">
      <c r="A66" t="e">
        <f>AND(#REF!,"AAAAAHl3XwA=")</f>
        <v>#REF!</v>
      </c>
      <c r="B66" t="e">
        <f>IF(#REF!,"AAAAAHl3XwE=",0)</f>
        <v>#REF!</v>
      </c>
      <c r="C66" t="e">
        <f>AND(#REF!,"AAAAAHl3XwI=")</f>
        <v>#REF!</v>
      </c>
      <c r="D66" t="e">
        <f>AND(#REF!,"AAAAAHl3XwM=")</f>
        <v>#REF!</v>
      </c>
      <c r="E66" t="e">
        <f>AND(#REF!,"AAAAAHl3XwQ=")</f>
        <v>#REF!</v>
      </c>
      <c r="F66" t="e">
        <f>AND(#REF!,"AAAAAHl3XwU=")</f>
        <v>#REF!</v>
      </c>
      <c r="G66" t="e">
        <f>AND(#REF!,"AAAAAHl3XwY=")</f>
        <v>#REF!</v>
      </c>
      <c r="H66" t="e">
        <f>AND(#REF!,"AAAAAHl3Xwc=")</f>
        <v>#REF!</v>
      </c>
      <c r="I66" t="e">
        <f>AND(#REF!,"AAAAAHl3Xwg=")</f>
        <v>#REF!</v>
      </c>
      <c r="J66" t="e">
        <f>AND(#REF!,"AAAAAHl3Xwk=")</f>
        <v>#REF!</v>
      </c>
      <c r="K66" t="e">
        <f>AND(#REF!,"AAAAAHl3Xwo=")</f>
        <v>#REF!</v>
      </c>
      <c r="L66" t="e">
        <f>AND(#REF!,"AAAAAHl3Xws=")</f>
        <v>#REF!</v>
      </c>
      <c r="M66" t="e">
        <f>AND(#REF!,"AAAAAHl3Xww=")</f>
        <v>#REF!</v>
      </c>
      <c r="N66" t="e">
        <f>AND(#REF!,"AAAAAHl3Xw0=")</f>
        <v>#REF!</v>
      </c>
      <c r="O66" t="e">
        <f>AND(#REF!,"AAAAAHl3Xw4=")</f>
        <v>#REF!</v>
      </c>
      <c r="P66" t="e">
        <f>AND(#REF!,"AAAAAHl3Xw8=")</f>
        <v>#REF!</v>
      </c>
      <c r="Q66" t="e">
        <f>AND(#REF!,"AAAAAHl3XxA=")</f>
        <v>#REF!</v>
      </c>
      <c r="R66" t="e">
        <f>AND(#REF!,"AAAAAHl3XxE=")</f>
        <v>#REF!</v>
      </c>
      <c r="S66" t="e">
        <f>AND(#REF!,"AAAAAHl3XxI=")</f>
        <v>#REF!</v>
      </c>
      <c r="T66" t="e">
        <f>AND(#REF!,"AAAAAHl3XxM=")</f>
        <v>#REF!</v>
      </c>
      <c r="U66" t="e">
        <f>AND(#REF!,"AAAAAHl3XxQ=")</f>
        <v>#REF!</v>
      </c>
      <c r="V66" t="e">
        <f>AND(#REF!,"AAAAAHl3XxU=")</f>
        <v>#REF!</v>
      </c>
      <c r="W66" t="e">
        <f>AND(#REF!,"AAAAAHl3XxY=")</f>
        <v>#REF!</v>
      </c>
      <c r="X66" t="e">
        <f>AND(#REF!,"AAAAAHl3Xxc=")</f>
        <v>#REF!</v>
      </c>
      <c r="Y66" t="e">
        <f>AND(#REF!,"AAAAAHl3Xxg=")</f>
        <v>#REF!</v>
      </c>
      <c r="Z66" t="e">
        <f>AND(#REF!,"AAAAAHl3Xxk=")</f>
        <v>#REF!</v>
      </c>
      <c r="AA66" t="e">
        <f>AND(#REF!,"AAAAAHl3Xxo=")</f>
        <v>#REF!</v>
      </c>
      <c r="AB66" t="e">
        <f>AND(#REF!,"AAAAAHl3Xxs=")</f>
        <v>#REF!</v>
      </c>
      <c r="AC66" t="e">
        <f>AND(#REF!,"AAAAAHl3Xxw=")</f>
        <v>#REF!</v>
      </c>
      <c r="AD66" t="e">
        <f>AND(#REF!,"AAAAAHl3Xx0=")</f>
        <v>#REF!</v>
      </c>
      <c r="AE66" t="e">
        <f>AND(#REF!,"AAAAAHl3Xx4=")</f>
        <v>#REF!</v>
      </c>
      <c r="AF66" t="e">
        <f>AND(#REF!,"AAAAAHl3Xx8=")</f>
        <v>#REF!</v>
      </c>
      <c r="AG66" t="e">
        <f>AND(#REF!,"AAAAAHl3XyA=")</f>
        <v>#REF!</v>
      </c>
      <c r="AH66" t="e">
        <f>AND(#REF!,"AAAAAHl3XyE=")</f>
        <v>#REF!</v>
      </c>
      <c r="AI66" t="e">
        <f>AND(#REF!,"AAAAAHl3XyI=")</f>
        <v>#REF!</v>
      </c>
      <c r="AJ66" t="e">
        <f>AND(#REF!,"AAAAAHl3XyM=")</f>
        <v>#REF!</v>
      </c>
      <c r="AK66" t="e">
        <f>AND(#REF!,"AAAAAHl3XyQ=")</f>
        <v>#REF!</v>
      </c>
      <c r="AL66" t="e">
        <f>AND(#REF!,"AAAAAHl3XyU=")</f>
        <v>#REF!</v>
      </c>
      <c r="AM66" t="e">
        <f>AND(#REF!,"AAAAAHl3XyY=")</f>
        <v>#REF!</v>
      </c>
      <c r="AN66" t="e">
        <f>AND(#REF!,"AAAAAHl3Xyc=")</f>
        <v>#REF!</v>
      </c>
      <c r="AO66" t="e">
        <f>AND(#REF!,"AAAAAHl3Xyg=")</f>
        <v>#REF!</v>
      </c>
      <c r="AP66" t="e">
        <f>AND(#REF!,"AAAAAHl3Xyk=")</f>
        <v>#REF!</v>
      </c>
      <c r="AQ66" t="e">
        <f>AND(#REF!,"AAAAAHl3Xyo=")</f>
        <v>#REF!</v>
      </c>
      <c r="AR66" t="e">
        <f>IF(#REF!,"AAAAAHl3Xys=",0)</f>
        <v>#REF!</v>
      </c>
      <c r="AS66" t="e">
        <f>AND(#REF!,"AAAAAHl3Xyw=")</f>
        <v>#REF!</v>
      </c>
      <c r="AT66" t="e">
        <f>AND(#REF!,"AAAAAHl3Xy0=")</f>
        <v>#REF!</v>
      </c>
      <c r="AU66" t="e">
        <f>AND(#REF!,"AAAAAHl3Xy4=")</f>
        <v>#REF!</v>
      </c>
      <c r="AV66" t="e">
        <f>AND(#REF!,"AAAAAHl3Xy8=")</f>
        <v>#REF!</v>
      </c>
      <c r="AW66" t="e">
        <f>AND(#REF!,"AAAAAHl3XzA=")</f>
        <v>#REF!</v>
      </c>
      <c r="AX66" t="e">
        <f>AND(#REF!,"AAAAAHl3XzE=")</f>
        <v>#REF!</v>
      </c>
      <c r="AY66" t="e">
        <f>AND(#REF!,"AAAAAHl3XzI=")</f>
        <v>#REF!</v>
      </c>
      <c r="AZ66" t="e">
        <f>AND(#REF!,"AAAAAHl3XzM=")</f>
        <v>#REF!</v>
      </c>
      <c r="BA66" t="e">
        <f>AND(#REF!,"AAAAAHl3XzQ=")</f>
        <v>#REF!</v>
      </c>
      <c r="BB66" t="e">
        <f>AND(#REF!,"AAAAAHl3XzU=")</f>
        <v>#REF!</v>
      </c>
      <c r="BC66" t="e">
        <f>AND(#REF!,"AAAAAHl3XzY=")</f>
        <v>#REF!</v>
      </c>
      <c r="BD66" t="e">
        <f>AND(#REF!,"AAAAAHl3Xzc=")</f>
        <v>#REF!</v>
      </c>
      <c r="BE66" t="e">
        <f>AND(#REF!,"AAAAAHl3Xzg=")</f>
        <v>#REF!</v>
      </c>
      <c r="BF66" t="e">
        <f>AND(#REF!,"AAAAAHl3Xzk=")</f>
        <v>#REF!</v>
      </c>
      <c r="BG66" t="e">
        <f>AND(#REF!,"AAAAAHl3Xzo=")</f>
        <v>#REF!</v>
      </c>
      <c r="BH66" t="e">
        <f>AND(#REF!,"AAAAAHl3Xzs=")</f>
        <v>#REF!</v>
      </c>
      <c r="BI66" t="e">
        <f>AND(#REF!,"AAAAAHl3Xzw=")</f>
        <v>#REF!</v>
      </c>
      <c r="BJ66" t="e">
        <f>AND(#REF!,"AAAAAHl3Xz0=")</f>
        <v>#REF!</v>
      </c>
      <c r="BK66" t="e">
        <f>AND(#REF!,"AAAAAHl3Xz4=")</f>
        <v>#REF!</v>
      </c>
      <c r="BL66" t="e">
        <f>AND(#REF!,"AAAAAHl3Xz8=")</f>
        <v>#REF!</v>
      </c>
      <c r="BM66" t="e">
        <f>AND(#REF!,"AAAAAHl3X0A=")</f>
        <v>#REF!</v>
      </c>
      <c r="BN66" t="e">
        <f>AND(#REF!,"AAAAAHl3X0E=")</f>
        <v>#REF!</v>
      </c>
      <c r="BO66" t="e">
        <f>AND(#REF!,"AAAAAHl3X0I=")</f>
        <v>#REF!</v>
      </c>
      <c r="BP66" t="e">
        <f>AND(#REF!,"AAAAAHl3X0M=")</f>
        <v>#REF!</v>
      </c>
      <c r="BQ66" t="e">
        <f>AND(#REF!,"AAAAAHl3X0Q=")</f>
        <v>#REF!</v>
      </c>
      <c r="BR66" t="e">
        <f>AND(#REF!,"AAAAAHl3X0U=")</f>
        <v>#REF!</v>
      </c>
      <c r="BS66" t="e">
        <f>AND(#REF!,"AAAAAHl3X0Y=")</f>
        <v>#REF!</v>
      </c>
      <c r="BT66" t="e">
        <f>AND(#REF!,"AAAAAHl3X0c=")</f>
        <v>#REF!</v>
      </c>
      <c r="BU66" t="e">
        <f>AND(#REF!,"AAAAAHl3X0g=")</f>
        <v>#REF!</v>
      </c>
      <c r="BV66" t="e">
        <f>AND(#REF!,"AAAAAHl3X0k=")</f>
        <v>#REF!</v>
      </c>
      <c r="BW66" t="e">
        <f>AND(#REF!,"AAAAAHl3X0o=")</f>
        <v>#REF!</v>
      </c>
      <c r="BX66" t="e">
        <f>AND(#REF!,"AAAAAHl3X0s=")</f>
        <v>#REF!</v>
      </c>
      <c r="BY66" t="e">
        <f>AND(#REF!,"AAAAAHl3X0w=")</f>
        <v>#REF!</v>
      </c>
      <c r="BZ66" t="e">
        <f>AND(#REF!,"AAAAAHl3X00=")</f>
        <v>#REF!</v>
      </c>
      <c r="CA66" t="e">
        <f>AND(#REF!,"AAAAAHl3X04=")</f>
        <v>#REF!</v>
      </c>
      <c r="CB66" t="e">
        <f>AND(#REF!,"AAAAAHl3X08=")</f>
        <v>#REF!</v>
      </c>
      <c r="CC66" t="e">
        <f>AND(#REF!,"AAAAAHl3X1A=")</f>
        <v>#REF!</v>
      </c>
      <c r="CD66" t="e">
        <f>AND(#REF!,"AAAAAHl3X1E=")</f>
        <v>#REF!</v>
      </c>
      <c r="CE66" t="e">
        <f>AND(#REF!,"AAAAAHl3X1I=")</f>
        <v>#REF!</v>
      </c>
      <c r="CF66" t="e">
        <f>AND(#REF!,"AAAAAHl3X1M=")</f>
        <v>#REF!</v>
      </c>
      <c r="CG66" t="e">
        <f>AND(#REF!,"AAAAAHl3X1Q=")</f>
        <v>#REF!</v>
      </c>
      <c r="CH66" t="e">
        <f>IF(#REF!,"AAAAAHl3X1U=",0)</f>
        <v>#REF!</v>
      </c>
      <c r="CI66" t="e">
        <f>AND(#REF!,"AAAAAHl3X1Y=")</f>
        <v>#REF!</v>
      </c>
      <c r="CJ66" t="e">
        <f>AND(#REF!,"AAAAAHl3X1c=")</f>
        <v>#REF!</v>
      </c>
      <c r="CK66" t="e">
        <f>AND(#REF!,"AAAAAHl3X1g=")</f>
        <v>#REF!</v>
      </c>
      <c r="CL66" t="e">
        <f>AND(#REF!,"AAAAAHl3X1k=")</f>
        <v>#REF!</v>
      </c>
      <c r="CM66" t="e">
        <f>AND(#REF!,"AAAAAHl3X1o=")</f>
        <v>#REF!</v>
      </c>
      <c r="CN66" t="e">
        <f>AND(#REF!,"AAAAAHl3X1s=")</f>
        <v>#REF!</v>
      </c>
      <c r="CO66" t="e">
        <f>AND(#REF!,"AAAAAHl3X1w=")</f>
        <v>#REF!</v>
      </c>
      <c r="CP66" t="e">
        <f>AND(#REF!,"AAAAAHl3X10=")</f>
        <v>#REF!</v>
      </c>
      <c r="CQ66" t="e">
        <f>AND(#REF!,"AAAAAHl3X14=")</f>
        <v>#REF!</v>
      </c>
      <c r="CR66" t="e">
        <f>AND(#REF!,"AAAAAHl3X18=")</f>
        <v>#REF!</v>
      </c>
      <c r="CS66" t="e">
        <f>AND(#REF!,"AAAAAHl3X2A=")</f>
        <v>#REF!</v>
      </c>
      <c r="CT66" t="e">
        <f>AND(#REF!,"AAAAAHl3X2E=")</f>
        <v>#REF!</v>
      </c>
      <c r="CU66" t="e">
        <f>AND(#REF!,"AAAAAHl3X2I=")</f>
        <v>#REF!</v>
      </c>
      <c r="CV66" t="e">
        <f>AND(#REF!,"AAAAAHl3X2M=")</f>
        <v>#REF!</v>
      </c>
      <c r="CW66" t="e">
        <f>AND(#REF!,"AAAAAHl3X2Q=")</f>
        <v>#REF!</v>
      </c>
      <c r="CX66" t="e">
        <f>AND(#REF!,"AAAAAHl3X2U=")</f>
        <v>#REF!</v>
      </c>
      <c r="CY66" t="e">
        <f>AND(#REF!,"AAAAAHl3X2Y=")</f>
        <v>#REF!</v>
      </c>
      <c r="CZ66" t="e">
        <f>AND(#REF!,"AAAAAHl3X2c=")</f>
        <v>#REF!</v>
      </c>
      <c r="DA66" t="e">
        <f>AND(#REF!,"AAAAAHl3X2g=")</f>
        <v>#REF!</v>
      </c>
      <c r="DB66" t="e">
        <f>AND(#REF!,"AAAAAHl3X2k=")</f>
        <v>#REF!</v>
      </c>
      <c r="DC66" t="e">
        <f>AND(#REF!,"AAAAAHl3X2o=")</f>
        <v>#REF!</v>
      </c>
      <c r="DD66" t="e">
        <f>AND(#REF!,"AAAAAHl3X2s=")</f>
        <v>#REF!</v>
      </c>
      <c r="DE66" t="e">
        <f>AND(#REF!,"AAAAAHl3X2w=")</f>
        <v>#REF!</v>
      </c>
      <c r="DF66" t="e">
        <f>AND(#REF!,"AAAAAHl3X20=")</f>
        <v>#REF!</v>
      </c>
      <c r="DG66" t="e">
        <f>AND(#REF!,"AAAAAHl3X24=")</f>
        <v>#REF!</v>
      </c>
      <c r="DH66" t="e">
        <f>AND(#REF!,"AAAAAHl3X28=")</f>
        <v>#REF!</v>
      </c>
      <c r="DI66" t="e">
        <f>AND(#REF!,"AAAAAHl3X3A=")</f>
        <v>#REF!</v>
      </c>
      <c r="DJ66" t="e">
        <f>AND(#REF!,"AAAAAHl3X3E=")</f>
        <v>#REF!</v>
      </c>
      <c r="DK66" t="e">
        <f>AND(#REF!,"AAAAAHl3X3I=")</f>
        <v>#REF!</v>
      </c>
      <c r="DL66" t="e">
        <f>AND(#REF!,"AAAAAHl3X3M=")</f>
        <v>#REF!</v>
      </c>
      <c r="DM66" t="e">
        <f>AND(#REF!,"AAAAAHl3X3Q=")</f>
        <v>#REF!</v>
      </c>
      <c r="DN66" t="e">
        <f>AND(#REF!,"AAAAAHl3X3U=")</f>
        <v>#REF!</v>
      </c>
      <c r="DO66" t="e">
        <f>AND(#REF!,"AAAAAHl3X3Y=")</f>
        <v>#REF!</v>
      </c>
      <c r="DP66" t="e">
        <f>AND(#REF!,"AAAAAHl3X3c=")</f>
        <v>#REF!</v>
      </c>
      <c r="DQ66" t="e">
        <f>AND(#REF!,"AAAAAHl3X3g=")</f>
        <v>#REF!</v>
      </c>
      <c r="DR66" t="e">
        <f>AND(#REF!,"AAAAAHl3X3k=")</f>
        <v>#REF!</v>
      </c>
      <c r="DS66" t="e">
        <f>AND(#REF!,"AAAAAHl3X3o=")</f>
        <v>#REF!</v>
      </c>
      <c r="DT66" t="e">
        <f>AND(#REF!,"AAAAAHl3X3s=")</f>
        <v>#REF!</v>
      </c>
      <c r="DU66" t="e">
        <f>AND(#REF!,"AAAAAHl3X3w=")</f>
        <v>#REF!</v>
      </c>
      <c r="DV66" t="e">
        <f>AND(#REF!,"AAAAAHl3X30=")</f>
        <v>#REF!</v>
      </c>
      <c r="DW66" t="e">
        <f>AND(#REF!,"AAAAAHl3X34=")</f>
        <v>#REF!</v>
      </c>
      <c r="DX66" t="e">
        <f>IF(#REF!,"AAAAAHl3X38=",0)</f>
        <v>#REF!</v>
      </c>
      <c r="DY66" t="e">
        <f>AND(#REF!,"AAAAAHl3X4A=")</f>
        <v>#REF!</v>
      </c>
      <c r="DZ66" t="e">
        <f>AND(#REF!,"AAAAAHl3X4E=")</f>
        <v>#REF!</v>
      </c>
      <c r="EA66" t="e">
        <f>AND(#REF!,"AAAAAHl3X4I=")</f>
        <v>#REF!</v>
      </c>
      <c r="EB66" t="e">
        <f>AND(#REF!,"AAAAAHl3X4M=")</f>
        <v>#REF!</v>
      </c>
      <c r="EC66" t="e">
        <f>AND(#REF!,"AAAAAHl3X4Q=")</f>
        <v>#REF!</v>
      </c>
      <c r="ED66" t="e">
        <f>AND(#REF!,"AAAAAHl3X4U=")</f>
        <v>#REF!</v>
      </c>
      <c r="EE66" t="e">
        <f>AND(#REF!,"AAAAAHl3X4Y=")</f>
        <v>#REF!</v>
      </c>
      <c r="EF66" t="e">
        <f>AND(#REF!,"AAAAAHl3X4c=")</f>
        <v>#REF!</v>
      </c>
      <c r="EG66" t="e">
        <f>AND(#REF!,"AAAAAHl3X4g=")</f>
        <v>#REF!</v>
      </c>
      <c r="EH66" t="e">
        <f>AND(#REF!,"AAAAAHl3X4k=")</f>
        <v>#REF!</v>
      </c>
      <c r="EI66" t="e">
        <f>AND(#REF!,"AAAAAHl3X4o=")</f>
        <v>#REF!</v>
      </c>
      <c r="EJ66" t="e">
        <f>AND(#REF!,"AAAAAHl3X4s=")</f>
        <v>#REF!</v>
      </c>
      <c r="EK66" t="e">
        <f>AND(#REF!,"AAAAAHl3X4w=")</f>
        <v>#REF!</v>
      </c>
      <c r="EL66" t="e">
        <f>AND(#REF!,"AAAAAHl3X40=")</f>
        <v>#REF!</v>
      </c>
      <c r="EM66" t="e">
        <f>AND(#REF!,"AAAAAHl3X44=")</f>
        <v>#REF!</v>
      </c>
      <c r="EN66" t="e">
        <f>AND(#REF!,"AAAAAHl3X48=")</f>
        <v>#REF!</v>
      </c>
      <c r="EO66" t="e">
        <f>AND(#REF!,"AAAAAHl3X5A=")</f>
        <v>#REF!</v>
      </c>
      <c r="EP66" t="e">
        <f>AND(#REF!,"AAAAAHl3X5E=")</f>
        <v>#REF!</v>
      </c>
      <c r="EQ66" t="e">
        <f>AND(#REF!,"AAAAAHl3X5I=")</f>
        <v>#REF!</v>
      </c>
      <c r="ER66" t="e">
        <f>AND(#REF!,"AAAAAHl3X5M=")</f>
        <v>#REF!</v>
      </c>
      <c r="ES66" t="e">
        <f>AND(#REF!,"AAAAAHl3X5Q=")</f>
        <v>#REF!</v>
      </c>
      <c r="ET66" t="e">
        <f>AND(#REF!,"AAAAAHl3X5U=")</f>
        <v>#REF!</v>
      </c>
      <c r="EU66" t="e">
        <f>AND(#REF!,"AAAAAHl3X5Y=")</f>
        <v>#REF!</v>
      </c>
      <c r="EV66" t="e">
        <f>AND(#REF!,"AAAAAHl3X5c=")</f>
        <v>#REF!</v>
      </c>
      <c r="EW66" t="e">
        <f>AND(#REF!,"AAAAAHl3X5g=")</f>
        <v>#REF!</v>
      </c>
      <c r="EX66" t="e">
        <f>AND(#REF!,"AAAAAHl3X5k=")</f>
        <v>#REF!</v>
      </c>
      <c r="EY66" t="e">
        <f>AND(#REF!,"AAAAAHl3X5o=")</f>
        <v>#REF!</v>
      </c>
      <c r="EZ66" t="e">
        <f>AND(#REF!,"AAAAAHl3X5s=")</f>
        <v>#REF!</v>
      </c>
      <c r="FA66" t="e">
        <f>AND(#REF!,"AAAAAHl3X5w=")</f>
        <v>#REF!</v>
      </c>
      <c r="FB66" t="e">
        <f>AND(#REF!,"AAAAAHl3X50=")</f>
        <v>#REF!</v>
      </c>
      <c r="FC66" t="e">
        <f>AND(#REF!,"AAAAAHl3X54=")</f>
        <v>#REF!</v>
      </c>
      <c r="FD66" t="e">
        <f>AND(#REF!,"AAAAAHl3X58=")</f>
        <v>#REF!</v>
      </c>
      <c r="FE66" t="e">
        <f>AND(#REF!,"AAAAAHl3X6A=")</f>
        <v>#REF!</v>
      </c>
      <c r="FF66" t="e">
        <f>AND(#REF!,"AAAAAHl3X6E=")</f>
        <v>#REF!</v>
      </c>
      <c r="FG66" t="e">
        <f>AND(#REF!,"AAAAAHl3X6I=")</f>
        <v>#REF!</v>
      </c>
      <c r="FH66" t="e">
        <f>AND(#REF!,"AAAAAHl3X6M=")</f>
        <v>#REF!</v>
      </c>
      <c r="FI66" t="e">
        <f>AND(#REF!,"AAAAAHl3X6Q=")</f>
        <v>#REF!</v>
      </c>
      <c r="FJ66" t="e">
        <f>AND(#REF!,"AAAAAHl3X6U=")</f>
        <v>#REF!</v>
      </c>
      <c r="FK66" t="e">
        <f>AND(#REF!,"AAAAAHl3X6Y=")</f>
        <v>#REF!</v>
      </c>
      <c r="FL66" t="e">
        <f>AND(#REF!,"AAAAAHl3X6c=")</f>
        <v>#REF!</v>
      </c>
      <c r="FM66" t="e">
        <f>AND(#REF!,"AAAAAHl3X6g=")</f>
        <v>#REF!</v>
      </c>
      <c r="FN66" t="e">
        <f>IF(#REF!,"AAAAAHl3X6k=",0)</f>
        <v>#REF!</v>
      </c>
      <c r="FO66" t="e">
        <f>AND(#REF!,"AAAAAHl3X6o=")</f>
        <v>#REF!</v>
      </c>
      <c r="FP66" t="e">
        <f>AND(#REF!,"AAAAAHl3X6s=")</f>
        <v>#REF!</v>
      </c>
      <c r="FQ66" t="e">
        <f>AND(#REF!,"AAAAAHl3X6w=")</f>
        <v>#REF!</v>
      </c>
      <c r="FR66" t="e">
        <f>AND(#REF!,"AAAAAHl3X60=")</f>
        <v>#REF!</v>
      </c>
      <c r="FS66" t="e">
        <f>AND(#REF!,"AAAAAHl3X64=")</f>
        <v>#REF!</v>
      </c>
      <c r="FT66" t="e">
        <f>AND(#REF!,"AAAAAHl3X68=")</f>
        <v>#REF!</v>
      </c>
      <c r="FU66" t="e">
        <f>AND(#REF!,"AAAAAHl3X7A=")</f>
        <v>#REF!</v>
      </c>
      <c r="FV66" t="e">
        <f>AND(#REF!,"AAAAAHl3X7E=")</f>
        <v>#REF!</v>
      </c>
      <c r="FW66" t="e">
        <f>AND(#REF!,"AAAAAHl3X7I=")</f>
        <v>#REF!</v>
      </c>
      <c r="FX66" t="e">
        <f>AND(#REF!,"AAAAAHl3X7M=")</f>
        <v>#REF!</v>
      </c>
      <c r="FY66" t="e">
        <f>AND(#REF!,"AAAAAHl3X7Q=")</f>
        <v>#REF!</v>
      </c>
      <c r="FZ66" t="e">
        <f>AND(#REF!,"AAAAAHl3X7U=")</f>
        <v>#REF!</v>
      </c>
      <c r="GA66" t="e">
        <f>AND(#REF!,"AAAAAHl3X7Y=")</f>
        <v>#REF!</v>
      </c>
      <c r="GB66" t="e">
        <f>AND(#REF!,"AAAAAHl3X7c=")</f>
        <v>#REF!</v>
      </c>
      <c r="GC66" t="e">
        <f>AND(#REF!,"AAAAAHl3X7g=")</f>
        <v>#REF!</v>
      </c>
      <c r="GD66" t="e">
        <f>AND(#REF!,"AAAAAHl3X7k=")</f>
        <v>#REF!</v>
      </c>
      <c r="GE66" t="e">
        <f>AND(#REF!,"AAAAAHl3X7o=")</f>
        <v>#REF!</v>
      </c>
      <c r="GF66" t="e">
        <f>AND(#REF!,"AAAAAHl3X7s=")</f>
        <v>#REF!</v>
      </c>
      <c r="GG66" t="e">
        <f>AND(#REF!,"AAAAAHl3X7w=")</f>
        <v>#REF!</v>
      </c>
      <c r="GH66" t="e">
        <f>AND(#REF!,"AAAAAHl3X70=")</f>
        <v>#REF!</v>
      </c>
      <c r="GI66" t="e">
        <f>AND(#REF!,"AAAAAHl3X74=")</f>
        <v>#REF!</v>
      </c>
      <c r="GJ66" t="e">
        <f>AND(#REF!,"AAAAAHl3X78=")</f>
        <v>#REF!</v>
      </c>
      <c r="GK66" t="e">
        <f>AND(#REF!,"AAAAAHl3X8A=")</f>
        <v>#REF!</v>
      </c>
      <c r="GL66" t="e">
        <f>AND(#REF!,"AAAAAHl3X8E=")</f>
        <v>#REF!</v>
      </c>
      <c r="GM66" t="e">
        <f>AND(#REF!,"AAAAAHl3X8I=")</f>
        <v>#REF!</v>
      </c>
      <c r="GN66" t="e">
        <f>AND(#REF!,"AAAAAHl3X8M=")</f>
        <v>#REF!</v>
      </c>
      <c r="GO66" t="e">
        <f>AND(#REF!,"AAAAAHl3X8Q=")</f>
        <v>#REF!</v>
      </c>
      <c r="GP66" t="e">
        <f>AND(#REF!,"AAAAAHl3X8U=")</f>
        <v>#REF!</v>
      </c>
      <c r="GQ66" t="e">
        <f>AND(#REF!,"AAAAAHl3X8Y=")</f>
        <v>#REF!</v>
      </c>
      <c r="GR66" t="e">
        <f>AND(#REF!,"AAAAAHl3X8c=")</f>
        <v>#REF!</v>
      </c>
      <c r="GS66" t="e">
        <f>AND(#REF!,"AAAAAHl3X8g=")</f>
        <v>#REF!</v>
      </c>
      <c r="GT66" t="e">
        <f>AND(#REF!,"AAAAAHl3X8k=")</f>
        <v>#REF!</v>
      </c>
      <c r="GU66" t="e">
        <f>AND(#REF!,"AAAAAHl3X8o=")</f>
        <v>#REF!</v>
      </c>
      <c r="GV66" t="e">
        <f>AND(#REF!,"AAAAAHl3X8s=")</f>
        <v>#REF!</v>
      </c>
      <c r="GW66" t="e">
        <f>AND(#REF!,"AAAAAHl3X8w=")</f>
        <v>#REF!</v>
      </c>
      <c r="GX66" t="e">
        <f>AND(#REF!,"AAAAAHl3X80=")</f>
        <v>#REF!</v>
      </c>
      <c r="GY66" t="e">
        <f>AND(#REF!,"AAAAAHl3X84=")</f>
        <v>#REF!</v>
      </c>
      <c r="GZ66" t="e">
        <f>AND(#REF!,"AAAAAHl3X88=")</f>
        <v>#REF!</v>
      </c>
      <c r="HA66" t="e">
        <f>AND(#REF!,"AAAAAHl3X9A=")</f>
        <v>#REF!</v>
      </c>
      <c r="HB66" t="e">
        <f>AND(#REF!,"AAAAAHl3X9E=")</f>
        <v>#REF!</v>
      </c>
      <c r="HC66" t="e">
        <f>AND(#REF!,"AAAAAHl3X9I=")</f>
        <v>#REF!</v>
      </c>
      <c r="HD66" t="e">
        <f>IF(#REF!,"AAAAAHl3X9M=",0)</f>
        <v>#REF!</v>
      </c>
      <c r="HE66" t="e">
        <f>AND(#REF!,"AAAAAHl3X9Q=")</f>
        <v>#REF!</v>
      </c>
      <c r="HF66" t="e">
        <f>AND(#REF!,"AAAAAHl3X9U=")</f>
        <v>#REF!</v>
      </c>
      <c r="HG66" t="e">
        <f>AND(#REF!,"AAAAAHl3X9Y=")</f>
        <v>#REF!</v>
      </c>
      <c r="HH66" t="e">
        <f>AND(#REF!,"AAAAAHl3X9c=")</f>
        <v>#REF!</v>
      </c>
      <c r="HI66" t="e">
        <f>AND(#REF!,"AAAAAHl3X9g=")</f>
        <v>#REF!</v>
      </c>
      <c r="HJ66" t="e">
        <f>AND(#REF!,"AAAAAHl3X9k=")</f>
        <v>#REF!</v>
      </c>
      <c r="HK66" t="e">
        <f>AND(#REF!,"AAAAAHl3X9o=")</f>
        <v>#REF!</v>
      </c>
      <c r="HL66" t="e">
        <f>AND(#REF!,"AAAAAHl3X9s=")</f>
        <v>#REF!</v>
      </c>
      <c r="HM66" t="e">
        <f>AND(#REF!,"AAAAAHl3X9w=")</f>
        <v>#REF!</v>
      </c>
      <c r="HN66" t="e">
        <f>AND(#REF!,"AAAAAHl3X90=")</f>
        <v>#REF!</v>
      </c>
      <c r="HO66" t="e">
        <f>AND(#REF!,"AAAAAHl3X94=")</f>
        <v>#REF!</v>
      </c>
      <c r="HP66" t="e">
        <f>AND(#REF!,"AAAAAHl3X98=")</f>
        <v>#REF!</v>
      </c>
      <c r="HQ66" t="e">
        <f>AND(#REF!,"AAAAAHl3X+A=")</f>
        <v>#REF!</v>
      </c>
      <c r="HR66" t="e">
        <f>AND(#REF!,"AAAAAHl3X+E=")</f>
        <v>#REF!</v>
      </c>
      <c r="HS66" t="e">
        <f>AND(#REF!,"AAAAAHl3X+I=")</f>
        <v>#REF!</v>
      </c>
      <c r="HT66" t="e">
        <f>AND(#REF!,"AAAAAHl3X+M=")</f>
        <v>#REF!</v>
      </c>
      <c r="HU66" t="e">
        <f>AND(#REF!,"AAAAAHl3X+Q=")</f>
        <v>#REF!</v>
      </c>
      <c r="HV66" t="e">
        <f>AND(#REF!,"AAAAAHl3X+U=")</f>
        <v>#REF!</v>
      </c>
      <c r="HW66" t="e">
        <f>AND(#REF!,"AAAAAHl3X+Y=")</f>
        <v>#REF!</v>
      </c>
      <c r="HX66" t="e">
        <f>AND(#REF!,"AAAAAHl3X+c=")</f>
        <v>#REF!</v>
      </c>
      <c r="HY66" t="e">
        <f>AND(#REF!,"AAAAAHl3X+g=")</f>
        <v>#REF!</v>
      </c>
      <c r="HZ66" t="e">
        <f>AND(#REF!,"AAAAAHl3X+k=")</f>
        <v>#REF!</v>
      </c>
      <c r="IA66" t="e">
        <f>AND(#REF!,"AAAAAHl3X+o=")</f>
        <v>#REF!</v>
      </c>
      <c r="IB66" t="e">
        <f>AND(#REF!,"AAAAAHl3X+s=")</f>
        <v>#REF!</v>
      </c>
      <c r="IC66" t="e">
        <f>AND(#REF!,"AAAAAHl3X+w=")</f>
        <v>#REF!</v>
      </c>
      <c r="ID66" t="e">
        <f>AND(#REF!,"AAAAAHl3X+0=")</f>
        <v>#REF!</v>
      </c>
      <c r="IE66" t="e">
        <f>AND(#REF!,"AAAAAHl3X+4=")</f>
        <v>#REF!</v>
      </c>
      <c r="IF66" t="e">
        <f>AND(#REF!,"AAAAAHl3X+8=")</f>
        <v>#REF!</v>
      </c>
      <c r="IG66" t="e">
        <f>AND(#REF!,"AAAAAHl3X/A=")</f>
        <v>#REF!</v>
      </c>
      <c r="IH66" t="e">
        <f>AND(#REF!,"AAAAAHl3X/E=")</f>
        <v>#REF!</v>
      </c>
      <c r="II66" t="e">
        <f>AND(#REF!,"AAAAAHl3X/I=")</f>
        <v>#REF!</v>
      </c>
      <c r="IJ66" t="e">
        <f>AND(#REF!,"AAAAAHl3X/M=")</f>
        <v>#REF!</v>
      </c>
      <c r="IK66" t="e">
        <f>AND(#REF!,"AAAAAHl3X/Q=")</f>
        <v>#REF!</v>
      </c>
      <c r="IL66" t="e">
        <f>AND(#REF!,"AAAAAHl3X/U=")</f>
        <v>#REF!</v>
      </c>
      <c r="IM66" t="e">
        <f>AND(#REF!,"AAAAAHl3X/Y=")</f>
        <v>#REF!</v>
      </c>
      <c r="IN66" t="e">
        <f>AND(#REF!,"AAAAAHl3X/c=")</f>
        <v>#REF!</v>
      </c>
      <c r="IO66" t="e">
        <f>AND(#REF!,"AAAAAHl3X/g=")</f>
        <v>#REF!</v>
      </c>
      <c r="IP66" t="e">
        <f>AND(#REF!,"AAAAAHl3X/k=")</f>
        <v>#REF!</v>
      </c>
      <c r="IQ66" t="e">
        <f>AND(#REF!,"AAAAAHl3X/o=")</f>
        <v>#REF!</v>
      </c>
      <c r="IR66" t="e">
        <f>AND(#REF!,"AAAAAHl3X/s=")</f>
        <v>#REF!</v>
      </c>
      <c r="IS66" t="e">
        <f>AND(#REF!,"AAAAAHl3X/w=")</f>
        <v>#REF!</v>
      </c>
      <c r="IT66" t="e">
        <f>IF(#REF!,"AAAAAHl3X/0=",0)</f>
        <v>#REF!</v>
      </c>
      <c r="IU66" t="e">
        <f>AND(#REF!,"AAAAAHl3X/4=")</f>
        <v>#REF!</v>
      </c>
      <c r="IV66" t="e">
        <f>AND(#REF!,"AAAAAHl3X/8=")</f>
        <v>#REF!</v>
      </c>
    </row>
    <row r="67" spans="1:256">
      <c r="A67" t="e">
        <f>AND(#REF!,"AAAAAHGn9wA=")</f>
        <v>#REF!</v>
      </c>
      <c r="B67" t="e">
        <f>AND(#REF!,"AAAAAHGn9wE=")</f>
        <v>#REF!</v>
      </c>
      <c r="C67" t="e">
        <f>AND(#REF!,"AAAAAHGn9wI=")</f>
        <v>#REF!</v>
      </c>
      <c r="D67" t="e">
        <f>AND(#REF!,"AAAAAHGn9wM=")</f>
        <v>#REF!</v>
      </c>
      <c r="E67" t="e">
        <f>AND(#REF!,"AAAAAHGn9wQ=")</f>
        <v>#REF!</v>
      </c>
      <c r="F67" t="e">
        <f>AND(#REF!,"AAAAAHGn9wU=")</f>
        <v>#REF!</v>
      </c>
      <c r="G67" t="e">
        <f>AND(#REF!,"AAAAAHGn9wY=")</f>
        <v>#REF!</v>
      </c>
      <c r="H67" t="e">
        <f>AND(#REF!,"AAAAAHGn9wc=")</f>
        <v>#REF!</v>
      </c>
      <c r="I67" t="e">
        <f>AND(#REF!,"AAAAAHGn9wg=")</f>
        <v>#REF!</v>
      </c>
      <c r="J67" t="e">
        <f>AND(#REF!,"AAAAAHGn9wk=")</f>
        <v>#REF!</v>
      </c>
      <c r="K67" t="e">
        <f>AND(#REF!,"AAAAAHGn9wo=")</f>
        <v>#REF!</v>
      </c>
      <c r="L67" t="e">
        <f>AND(#REF!,"AAAAAHGn9ws=")</f>
        <v>#REF!</v>
      </c>
      <c r="M67" t="e">
        <f>AND(#REF!,"AAAAAHGn9ww=")</f>
        <v>#REF!</v>
      </c>
      <c r="N67" t="e">
        <f>AND(#REF!,"AAAAAHGn9w0=")</f>
        <v>#REF!</v>
      </c>
      <c r="O67" t="e">
        <f>AND(#REF!,"AAAAAHGn9w4=")</f>
        <v>#REF!</v>
      </c>
      <c r="P67" t="e">
        <f>AND(#REF!,"AAAAAHGn9w8=")</f>
        <v>#REF!</v>
      </c>
      <c r="Q67" t="e">
        <f>AND(#REF!,"AAAAAHGn9xA=")</f>
        <v>#REF!</v>
      </c>
      <c r="R67" t="e">
        <f>AND(#REF!,"AAAAAHGn9xE=")</f>
        <v>#REF!</v>
      </c>
      <c r="S67" t="e">
        <f>AND(#REF!,"AAAAAHGn9xI=")</f>
        <v>#REF!</v>
      </c>
      <c r="T67" t="e">
        <f>AND(#REF!,"AAAAAHGn9xM=")</f>
        <v>#REF!</v>
      </c>
      <c r="U67" t="e">
        <f>AND(#REF!,"AAAAAHGn9xQ=")</f>
        <v>#REF!</v>
      </c>
      <c r="V67" t="e">
        <f>AND(#REF!,"AAAAAHGn9xU=")</f>
        <v>#REF!</v>
      </c>
      <c r="W67" t="e">
        <f>AND(#REF!,"AAAAAHGn9xY=")</f>
        <v>#REF!</v>
      </c>
      <c r="X67" t="e">
        <f>AND(#REF!,"AAAAAHGn9xc=")</f>
        <v>#REF!</v>
      </c>
      <c r="Y67" t="e">
        <f>AND(#REF!,"AAAAAHGn9xg=")</f>
        <v>#REF!</v>
      </c>
      <c r="Z67" t="e">
        <f>AND(#REF!,"AAAAAHGn9xk=")</f>
        <v>#REF!</v>
      </c>
      <c r="AA67" t="e">
        <f>AND(#REF!,"AAAAAHGn9xo=")</f>
        <v>#REF!</v>
      </c>
      <c r="AB67" t="e">
        <f>AND(#REF!,"AAAAAHGn9xs=")</f>
        <v>#REF!</v>
      </c>
      <c r="AC67" t="e">
        <f>AND(#REF!,"AAAAAHGn9xw=")</f>
        <v>#REF!</v>
      </c>
      <c r="AD67" t="e">
        <f>AND(#REF!,"AAAAAHGn9x0=")</f>
        <v>#REF!</v>
      </c>
      <c r="AE67" t="e">
        <f>AND(#REF!,"AAAAAHGn9x4=")</f>
        <v>#REF!</v>
      </c>
      <c r="AF67" t="e">
        <f>AND(#REF!,"AAAAAHGn9x8=")</f>
        <v>#REF!</v>
      </c>
      <c r="AG67" t="e">
        <f>AND(#REF!,"AAAAAHGn9yA=")</f>
        <v>#REF!</v>
      </c>
      <c r="AH67" t="e">
        <f>AND(#REF!,"AAAAAHGn9yE=")</f>
        <v>#REF!</v>
      </c>
      <c r="AI67" t="e">
        <f>AND(#REF!,"AAAAAHGn9yI=")</f>
        <v>#REF!</v>
      </c>
      <c r="AJ67" t="e">
        <f>AND(#REF!,"AAAAAHGn9yM=")</f>
        <v>#REF!</v>
      </c>
      <c r="AK67" t="e">
        <f>AND(#REF!,"AAAAAHGn9yQ=")</f>
        <v>#REF!</v>
      </c>
      <c r="AL67" t="e">
        <f>AND(#REF!,"AAAAAHGn9yU=")</f>
        <v>#REF!</v>
      </c>
      <c r="AM67" t="e">
        <f>AND(#REF!,"AAAAAHGn9yY=")</f>
        <v>#REF!</v>
      </c>
      <c r="AN67" t="e">
        <f>IF(#REF!,"AAAAAHGn9yc=",0)</f>
        <v>#REF!</v>
      </c>
      <c r="AO67" t="e">
        <f>AND(#REF!,"AAAAAHGn9yg=")</f>
        <v>#REF!</v>
      </c>
      <c r="AP67" t="e">
        <f>AND(#REF!,"AAAAAHGn9yk=")</f>
        <v>#REF!</v>
      </c>
      <c r="AQ67" t="e">
        <f>AND(#REF!,"AAAAAHGn9yo=")</f>
        <v>#REF!</v>
      </c>
      <c r="AR67" t="e">
        <f>AND(#REF!,"AAAAAHGn9ys=")</f>
        <v>#REF!</v>
      </c>
      <c r="AS67" t="e">
        <f>AND(#REF!,"AAAAAHGn9yw=")</f>
        <v>#REF!</v>
      </c>
      <c r="AT67" t="e">
        <f>AND(#REF!,"AAAAAHGn9y0=")</f>
        <v>#REF!</v>
      </c>
      <c r="AU67" t="e">
        <f>AND(#REF!,"AAAAAHGn9y4=")</f>
        <v>#REF!</v>
      </c>
      <c r="AV67" t="e">
        <f>AND(#REF!,"AAAAAHGn9y8=")</f>
        <v>#REF!</v>
      </c>
      <c r="AW67" t="e">
        <f>AND(#REF!,"AAAAAHGn9zA=")</f>
        <v>#REF!</v>
      </c>
      <c r="AX67" t="e">
        <f>AND(#REF!,"AAAAAHGn9zE=")</f>
        <v>#REF!</v>
      </c>
      <c r="AY67" t="e">
        <f>AND(#REF!,"AAAAAHGn9zI=")</f>
        <v>#REF!</v>
      </c>
      <c r="AZ67" t="e">
        <f>AND(#REF!,"AAAAAHGn9zM=")</f>
        <v>#REF!</v>
      </c>
      <c r="BA67" t="e">
        <f>AND(#REF!,"AAAAAHGn9zQ=")</f>
        <v>#REF!</v>
      </c>
      <c r="BB67" t="e">
        <f>AND(#REF!,"AAAAAHGn9zU=")</f>
        <v>#REF!</v>
      </c>
      <c r="BC67" t="e">
        <f>AND(#REF!,"AAAAAHGn9zY=")</f>
        <v>#REF!</v>
      </c>
      <c r="BD67" t="e">
        <f>AND(#REF!,"AAAAAHGn9zc=")</f>
        <v>#REF!</v>
      </c>
      <c r="BE67" t="e">
        <f>AND(#REF!,"AAAAAHGn9zg=")</f>
        <v>#REF!</v>
      </c>
      <c r="BF67" t="e">
        <f>AND(#REF!,"AAAAAHGn9zk=")</f>
        <v>#REF!</v>
      </c>
      <c r="BG67" t="e">
        <f>AND(#REF!,"AAAAAHGn9zo=")</f>
        <v>#REF!</v>
      </c>
      <c r="BH67" t="e">
        <f>AND(#REF!,"AAAAAHGn9zs=")</f>
        <v>#REF!</v>
      </c>
      <c r="BI67" t="e">
        <f>AND(#REF!,"AAAAAHGn9zw=")</f>
        <v>#REF!</v>
      </c>
      <c r="BJ67" t="e">
        <f>AND(#REF!,"AAAAAHGn9z0=")</f>
        <v>#REF!</v>
      </c>
      <c r="BK67" t="e">
        <f>AND(#REF!,"AAAAAHGn9z4=")</f>
        <v>#REF!</v>
      </c>
      <c r="BL67" t="e">
        <f>AND(#REF!,"AAAAAHGn9z8=")</f>
        <v>#REF!</v>
      </c>
      <c r="BM67" t="e">
        <f>AND(#REF!,"AAAAAHGn90A=")</f>
        <v>#REF!</v>
      </c>
      <c r="BN67" t="e">
        <f>AND(#REF!,"AAAAAHGn90E=")</f>
        <v>#REF!</v>
      </c>
      <c r="BO67" t="e">
        <f>AND(#REF!,"AAAAAHGn90I=")</f>
        <v>#REF!</v>
      </c>
      <c r="BP67" t="e">
        <f>AND(#REF!,"AAAAAHGn90M=")</f>
        <v>#REF!</v>
      </c>
      <c r="BQ67" t="e">
        <f>AND(#REF!,"AAAAAHGn90Q=")</f>
        <v>#REF!</v>
      </c>
      <c r="BR67" t="e">
        <f>AND(#REF!,"AAAAAHGn90U=")</f>
        <v>#REF!</v>
      </c>
      <c r="BS67" t="e">
        <f>AND(#REF!,"AAAAAHGn90Y=")</f>
        <v>#REF!</v>
      </c>
      <c r="BT67" t="e">
        <f>AND(#REF!,"AAAAAHGn90c=")</f>
        <v>#REF!</v>
      </c>
      <c r="BU67" t="e">
        <f>AND(#REF!,"AAAAAHGn90g=")</f>
        <v>#REF!</v>
      </c>
      <c r="BV67" t="e">
        <f>AND(#REF!,"AAAAAHGn90k=")</f>
        <v>#REF!</v>
      </c>
      <c r="BW67" t="e">
        <f>AND(#REF!,"AAAAAHGn90o=")</f>
        <v>#REF!</v>
      </c>
      <c r="BX67" t="e">
        <f>AND(#REF!,"AAAAAHGn90s=")</f>
        <v>#REF!</v>
      </c>
      <c r="BY67" t="e">
        <f>AND(#REF!,"AAAAAHGn90w=")</f>
        <v>#REF!</v>
      </c>
      <c r="BZ67" t="e">
        <f>AND(#REF!,"AAAAAHGn900=")</f>
        <v>#REF!</v>
      </c>
      <c r="CA67" t="e">
        <f>AND(#REF!,"AAAAAHGn904=")</f>
        <v>#REF!</v>
      </c>
      <c r="CB67" t="e">
        <f>AND(#REF!,"AAAAAHGn908=")</f>
        <v>#REF!</v>
      </c>
      <c r="CC67" t="e">
        <f>AND(#REF!,"AAAAAHGn91A=")</f>
        <v>#REF!</v>
      </c>
      <c r="CD67" t="e">
        <f>IF(#REF!,"AAAAAHGn91E=",0)</f>
        <v>#REF!</v>
      </c>
      <c r="CE67" t="e">
        <f>AND(#REF!,"AAAAAHGn91I=")</f>
        <v>#REF!</v>
      </c>
      <c r="CF67" t="e">
        <f>AND(#REF!,"AAAAAHGn91M=")</f>
        <v>#REF!</v>
      </c>
      <c r="CG67" t="e">
        <f>AND(#REF!,"AAAAAHGn91Q=")</f>
        <v>#REF!</v>
      </c>
      <c r="CH67" t="e">
        <f>AND(#REF!,"AAAAAHGn91U=")</f>
        <v>#REF!</v>
      </c>
      <c r="CI67" t="e">
        <f>AND(#REF!,"AAAAAHGn91Y=")</f>
        <v>#REF!</v>
      </c>
      <c r="CJ67" t="e">
        <f>AND(#REF!,"AAAAAHGn91c=")</f>
        <v>#REF!</v>
      </c>
      <c r="CK67" t="e">
        <f>AND(#REF!,"AAAAAHGn91g=")</f>
        <v>#REF!</v>
      </c>
      <c r="CL67" t="e">
        <f>AND(#REF!,"AAAAAHGn91k=")</f>
        <v>#REF!</v>
      </c>
      <c r="CM67" t="e">
        <f>AND(#REF!,"AAAAAHGn91o=")</f>
        <v>#REF!</v>
      </c>
      <c r="CN67" t="e">
        <f>AND(#REF!,"AAAAAHGn91s=")</f>
        <v>#REF!</v>
      </c>
      <c r="CO67" t="e">
        <f>AND(#REF!,"AAAAAHGn91w=")</f>
        <v>#REF!</v>
      </c>
      <c r="CP67" t="e">
        <f>AND(#REF!,"AAAAAHGn910=")</f>
        <v>#REF!</v>
      </c>
      <c r="CQ67" t="e">
        <f>AND(#REF!,"AAAAAHGn914=")</f>
        <v>#REF!</v>
      </c>
      <c r="CR67" t="e">
        <f>AND(#REF!,"AAAAAHGn918=")</f>
        <v>#REF!</v>
      </c>
      <c r="CS67" t="e">
        <f>AND(#REF!,"AAAAAHGn92A=")</f>
        <v>#REF!</v>
      </c>
      <c r="CT67" t="e">
        <f>AND(#REF!,"AAAAAHGn92E=")</f>
        <v>#REF!</v>
      </c>
      <c r="CU67" t="e">
        <f>AND(#REF!,"AAAAAHGn92I=")</f>
        <v>#REF!</v>
      </c>
      <c r="CV67" t="e">
        <f>AND(#REF!,"AAAAAHGn92M=")</f>
        <v>#REF!</v>
      </c>
      <c r="CW67" t="e">
        <f>AND(#REF!,"AAAAAHGn92Q=")</f>
        <v>#REF!</v>
      </c>
      <c r="CX67" t="e">
        <f>AND(#REF!,"AAAAAHGn92U=")</f>
        <v>#REF!</v>
      </c>
      <c r="CY67" t="e">
        <f>AND(#REF!,"AAAAAHGn92Y=")</f>
        <v>#REF!</v>
      </c>
      <c r="CZ67" t="e">
        <f>AND(#REF!,"AAAAAHGn92c=")</f>
        <v>#REF!</v>
      </c>
      <c r="DA67" t="e">
        <f>AND(#REF!,"AAAAAHGn92g=")</f>
        <v>#REF!</v>
      </c>
      <c r="DB67" t="e">
        <f>AND(#REF!,"AAAAAHGn92k=")</f>
        <v>#REF!</v>
      </c>
      <c r="DC67" t="e">
        <f>AND(#REF!,"AAAAAHGn92o=")</f>
        <v>#REF!</v>
      </c>
      <c r="DD67" t="e">
        <f>AND(#REF!,"AAAAAHGn92s=")</f>
        <v>#REF!</v>
      </c>
      <c r="DE67" t="e">
        <f>AND(#REF!,"AAAAAHGn92w=")</f>
        <v>#REF!</v>
      </c>
      <c r="DF67" t="e">
        <f>AND(#REF!,"AAAAAHGn920=")</f>
        <v>#REF!</v>
      </c>
      <c r="DG67" t="e">
        <f>AND(#REF!,"AAAAAHGn924=")</f>
        <v>#REF!</v>
      </c>
      <c r="DH67" t="e">
        <f>AND(#REF!,"AAAAAHGn928=")</f>
        <v>#REF!</v>
      </c>
      <c r="DI67" t="e">
        <f>AND(#REF!,"AAAAAHGn93A=")</f>
        <v>#REF!</v>
      </c>
      <c r="DJ67" t="e">
        <f>AND(#REF!,"AAAAAHGn93E=")</f>
        <v>#REF!</v>
      </c>
      <c r="DK67" t="e">
        <f>AND(#REF!,"AAAAAHGn93I=")</f>
        <v>#REF!</v>
      </c>
      <c r="DL67" t="e">
        <f>AND(#REF!,"AAAAAHGn93M=")</f>
        <v>#REF!</v>
      </c>
      <c r="DM67" t="e">
        <f>AND(#REF!,"AAAAAHGn93Q=")</f>
        <v>#REF!</v>
      </c>
      <c r="DN67" t="e">
        <f>AND(#REF!,"AAAAAHGn93U=")</f>
        <v>#REF!</v>
      </c>
      <c r="DO67" t="e">
        <f>AND(#REF!,"AAAAAHGn93Y=")</f>
        <v>#REF!</v>
      </c>
      <c r="DP67" t="e">
        <f>AND(#REF!,"AAAAAHGn93c=")</f>
        <v>#REF!</v>
      </c>
      <c r="DQ67" t="e">
        <f>AND(#REF!,"AAAAAHGn93g=")</f>
        <v>#REF!</v>
      </c>
      <c r="DR67" t="e">
        <f>AND(#REF!,"AAAAAHGn93k=")</f>
        <v>#REF!</v>
      </c>
      <c r="DS67" t="e">
        <f>AND(#REF!,"AAAAAHGn93o=")</f>
        <v>#REF!</v>
      </c>
      <c r="DT67" t="e">
        <f>IF(#REF!,"AAAAAHGn93s=",0)</f>
        <v>#REF!</v>
      </c>
      <c r="DU67" t="e">
        <f>AND(#REF!,"AAAAAHGn93w=")</f>
        <v>#REF!</v>
      </c>
      <c r="DV67" t="e">
        <f>AND(#REF!,"AAAAAHGn930=")</f>
        <v>#REF!</v>
      </c>
      <c r="DW67" t="e">
        <f>AND(#REF!,"AAAAAHGn934=")</f>
        <v>#REF!</v>
      </c>
      <c r="DX67" t="e">
        <f>AND(#REF!,"AAAAAHGn938=")</f>
        <v>#REF!</v>
      </c>
      <c r="DY67" t="e">
        <f>AND(#REF!,"AAAAAHGn94A=")</f>
        <v>#REF!</v>
      </c>
      <c r="DZ67" t="e">
        <f>AND(#REF!,"AAAAAHGn94E=")</f>
        <v>#REF!</v>
      </c>
      <c r="EA67" t="e">
        <f>AND(#REF!,"AAAAAHGn94I=")</f>
        <v>#REF!</v>
      </c>
      <c r="EB67" t="e">
        <f>AND(#REF!,"AAAAAHGn94M=")</f>
        <v>#REF!</v>
      </c>
      <c r="EC67" t="e">
        <f>AND(#REF!,"AAAAAHGn94Q=")</f>
        <v>#REF!</v>
      </c>
      <c r="ED67" t="e">
        <f>AND(#REF!,"AAAAAHGn94U=")</f>
        <v>#REF!</v>
      </c>
      <c r="EE67" t="e">
        <f>AND(#REF!,"AAAAAHGn94Y=")</f>
        <v>#REF!</v>
      </c>
      <c r="EF67" t="e">
        <f>AND(#REF!,"AAAAAHGn94c=")</f>
        <v>#REF!</v>
      </c>
      <c r="EG67" t="e">
        <f>AND(#REF!,"AAAAAHGn94g=")</f>
        <v>#REF!</v>
      </c>
      <c r="EH67" t="e">
        <f>AND(#REF!,"AAAAAHGn94k=")</f>
        <v>#REF!</v>
      </c>
      <c r="EI67" t="e">
        <f>AND(#REF!,"AAAAAHGn94o=")</f>
        <v>#REF!</v>
      </c>
      <c r="EJ67" t="e">
        <f>AND(#REF!,"AAAAAHGn94s=")</f>
        <v>#REF!</v>
      </c>
      <c r="EK67" t="e">
        <f>AND(#REF!,"AAAAAHGn94w=")</f>
        <v>#REF!</v>
      </c>
      <c r="EL67" t="e">
        <f>AND(#REF!,"AAAAAHGn940=")</f>
        <v>#REF!</v>
      </c>
      <c r="EM67" t="e">
        <f>AND(#REF!,"AAAAAHGn944=")</f>
        <v>#REF!</v>
      </c>
      <c r="EN67" t="e">
        <f>AND(#REF!,"AAAAAHGn948=")</f>
        <v>#REF!</v>
      </c>
      <c r="EO67" t="e">
        <f>AND(#REF!,"AAAAAHGn95A=")</f>
        <v>#REF!</v>
      </c>
      <c r="EP67" t="e">
        <f>AND(#REF!,"AAAAAHGn95E=")</f>
        <v>#REF!</v>
      </c>
      <c r="EQ67" t="e">
        <f>AND(#REF!,"AAAAAHGn95I=")</f>
        <v>#REF!</v>
      </c>
      <c r="ER67" t="e">
        <f>AND(#REF!,"AAAAAHGn95M=")</f>
        <v>#REF!</v>
      </c>
      <c r="ES67" t="e">
        <f>AND(#REF!,"AAAAAHGn95Q=")</f>
        <v>#REF!</v>
      </c>
      <c r="ET67" t="e">
        <f>AND(#REF!,"AAAAAHGn95U=")</f>
        <v>#REF!</v>
      </c>
      <c r="EU67" t="e">
        <f>AND(#REF!,"AAAAAHGn95Y=")</f>
        <v>#REF!</v>
      </c>
      <c r="EV67" t="e">
        <f>AND(#REF!,"AAAAAHGn95c=")</f>
        <v>#REF!</v>
      </c>
      <c r="EW67" t="e">
        <f>AND(#REF!,"AAAAAHGn95g=")</f>
        <v>#REF!</v>
      </c>
      <c r="EX67" t="e">
        <f>AND(#REF!,"AAAAAHGn95k=")</f>
        <v>#REF!</v>
      </c>
      <c r="EY67" t="e">
        <f>AND(#REF!,"AAAAAHGn95o=")</f>
        <v>#REF!</v>
      </c>
      <c r="EZ67" t="e">
        <f>AND(#REF!,"AAAAAHGn95s=")</f>
        <v>#REF!</v>
      </c>
      <c r="FA67" t="e">
        <f>AND(#REF!,"AAAAAHGn95w=")</f>
        <v>#REF!</v>
      </c>
      <c r="FB67" t="e">
        <f>AND(#REF!,"AAAAAHGn950=")</f>
        <v>#REF!</v>
      </c>
      <c r="FC67" t="e">
        <f>AND(#REF!,"AAAAAHGn954=")</f>
        <v>#REF!</v>
      </c>
      <c r="FD67" t="e">
        <f>AND(#REF!,"AAAAAHGn958=")</f>
        <v>#REF!</v>
      </c>
      <c r="FE67" t="e">
        <f>AND(#REF!,"AAAAAHGn96A=")</f>
        <v>#REF!</v>
      </c>
      <c r="FF67" t="e">
        <f>AND(#REF!,"AAAAAHGn96E=")</f>
        <v>#REF!</v>
      </c>
      <c r="FG67" t="e">
        <f>AND(#REF!,"AAAAAHGn96I=")</f>
        <v>#REF!</v>
      </c>
      <c r="FH67" t="e">
        <f>AND(#REF!,"AAAAAHGn96M=")</f>
        <v>#REF!</v>
      </c>
      <c r="FI67" t="e">
        <f>AND(#REF!,"AAAAAHGn96Q=")</f>
        <v>#REF!</v>
      </c>
      <c r="FJ67" t="e">
        <f>IF(#REF!,"AAAAAHGn96U=",0)</f>
        <v>#REF!</v>
      </c>
      <c r="FK67" t="e">
        <f>AND(#REF!,"AAAAAHGn96Y=")</f>
        <v>#REF!</v>
      </c>
      <c r="FL67" t="e">
        <f>AND(#REF!,"AAAAAHGn96c=")</f>
        <v>#REF!</v>
      </c>
      <c r="FM67" t="e">
        <f>AND(#REF!,"AAAAAHGn96g=")</f>
        <v>#REF!</v>
      </c>
      <c r="FN67" t="e">
        <f>AND(#REF!,"AAAAAHGn96k=")</f>
        <v>#REF!</v>
      </c>
      <c r="FO67" t="e">
        <f>AND(#REF!,"AAAAAHGn96o=")</f>
        <v>#REF!</v>
      </c>
      <c r="FP67" t="e">
        <f>AND(#REF!,"AAAAAHGn96s=")</f>
        <v>#REF!</v>
      </c>
      <c r="FQ67" t="e">
        <f>AND(#REF!,"AAAAAHGn96w=")</f>
        <v>#REF!</v>
      </c>
      <c r="FR67" t="e">
        <f>AND(#REF!,"AAAAAHGn960=")</f>
        <v>#REF!</v>
      </c>
      <c r="FS67" t="e">
        <f>AND(#REF!,"AAAAAHGn964=")</f>
        <v>#REF!</v>
      </c>
      <c r="FT67" t="e">
        <f>AND(#REF!,"AAAAAHGn968=")</f>
        <v>#REF!</v>
      </c>
      <c r="FU67" t="e">
        <f>AND(#REF!,"AAAAAHGn97A=")</f>
        <v>#REF!</v>
      </c>
      <c r="FV67" t="e">
        <f>AND(#REF!,"AAAAAHGn97E=")</f>
        <v>#REF!</v>
      </c>
      <c r="FW67" t="e">
        <f>AND(#REF!,"AAAAAHGn97I=")</f>
        <v>#REF!</v>
      </c>
      <c r="FX67" t="e">
        <f>AND(#REF!,"AAAAAHGn97M=")</f>
        <v>#REF!</v>
      </c>
      <c r="FY67" t="e">
        <f>AND(#REF!,"AAAAAHGn97Q=")</f>
        <v>#REF!</v>
      </c>
      <c r="FZ67" t="e">
        <f>AND(#REF!,"AAAAAHGn97U=")</f>
        <v>#REF!</v>
      </c>
      <c r="GA67" t="e">
        <f>AND(#REF!,"AAAAAHGn97Y=")</f>
        <v>#REF!</v>
      </c>
      <c r="GB67" t="e">
        <f>AND(#REF!,"AAAAAHGn97c=")</f>
        <v>#REF!</v>
      </c>
      <c r="GC67" t="e">
        <f>AND(#REF!,"AAAAAHGn97g=")</f>
        <v>#REF!</v>
      </c>
      <c r="GD67" t="e">
        <f>AND(#REF!,"AAAAAHGn97k=")</f>
        <v>#REF!</v>
      </c>
      <c r="GE67" t="e">
        <f>AND(#REF!,"AAAAAHGn97o=")</f>
        <v>#REF!</v>
      </c>
      <c r="GF67" t="e">
        <f>AND(#REF!,"AAAAAHGn97s=")</f>
        <v>#REF!</v>
      </c>
      <c r="GG67" t="e">
        <f>AND(#REF!,"AAAAAHGn97w=")</f>
        <v>#REF!</v>
      </c>
      <c r="GH67" t="e">
        <f>AND(#REF!,"AAAAAHGn970=")</f>
        <v>#REF!</v>
      </c>
      <c r="GI67" t="e">
        <f>AND(#REF!,"AAAAAHGn974=")</f>
        <v>#REF!</v>
      </c>
      <c r="GJ67" t="e">
        <f>AND(#REF!,"AAAAAHGn978=")</f>
        <v>#REF!</v>
      </c>
      <c r="GK67" t="e">
        <f>AND(#REF!,"AAAAAHGn98A=")</f>
        <v>#REF!</v>
      </c>
      <c r="GL67" t="e">
        <f>AND(#REF!,"AAAAAHGn98E=")</f>
        <v>#REF!</v>
      </c>
      <c r="GM67" t="e">
        <f>AND(#REF!,"AAAAAHGn98I=")</f>
        <v>#REF!</v>
      </c>
      <c r="GN67" t="e">
        <f>AND(#REF!,"AAAAAHGn98M=")</f>
        <v>#REF!</v>
      </c>
      <c r="GO67" t="e">
        <f>AND(#REF!,"AAAAAHGn98Q=")</f>
        <v>#REF!</v>
      </c>
      <c r="GP67" t="e">
        <f>AND(#REF!,"AAAAAHGn98U=")</f>
        <v>#REF!</v>
      </c>
      <c r="GQ67" t="e">
        <f>AND(#REF!,"AAAAAHGn98Y=")</f>
        <v>#REF!</v>
      </c>
      <c r="GR67" t="e">
        <f>AND(#REF!,"AAAAAHGn98c=")</f>
        <v>#REF!</v>
      </c>
      <c r="GS67" t="e">
        <f>AND(#REF!,"AAAAAHGn98g=")</f>
        <v>#REF!</v>
      </c>
      <c r="GT67" t="e">
        <f>AND(#REF!,"AAAAAHGn98k=")</f>
        <v>#REF!</v>
      </c>
      <c r="GU67" t="e">
        <f>AND(#REF!,"AAAAAHGn98o=")</f>
        <v>#REF!</v>
      </c>
      <c r="GV67" t="e">
        <f>AND(#REF!,"AAAAAHGn98s=")</f>
        <v>#REF!</v>
      </c>
      <c r="GW67" t="e">
        <f>AND(#REF!,"AAAAAHGn98w=")</f>
        <v>#REF!</v>
      </c>
      <c r="GX67" t="e">
        <f>AND(#REF!,"AAAAAHGn980=")</f>
        <v>#REF!</v>
      </c>
      <c r="GY67" t="e">
        <f>AND(#REF!,"AAAAAHGn984=")</f>
        <v>#REF!</v>
      </c>
      <c r="GZ67" t="e">
        <f>IF(#REF!,"AAAAAHGn988=",0)</f>
        <v>#REF!</v>
      </c>
      <c r="HA67" t="e">
        <f>AND(#REF!,"AAAAAHGn99A=")</f>
        <v>#REF!</v>
      </c>
      <c r="HB67" t="e">
        <f>AND(#REF!,"AAAAAHGn99E=")</f>
        <v>#REF!</v>
      </c>
      <c r="HC67" t="e">
        <f>AND(#REF!,"AAAAAHGn99I=")</f>
        <v>#REF!</v>
      </c>
      <c r="HD67" t="e">
        <f>AND(#REF!,"AAAAAHGn99M=")</f>
        <v>#REF!</v>
      </c>
      <c r="HE67" t="e">
        <f>AND(#REF!,"AAAAAHGn99Q=")</f>
        <v>#REF!</v>
      </c>
      <c r="HF67" t="e">
        <f>AND(#REF!,"AAAAAHGn99U=")</f>
        <v>#REF!</v>
      </c>
      <c r="HG67" t="e">
        <f>AND(#REF!,"AAAAAHGn99Y=")</f>
        <v>#REF!</v>
      </c>
      <c r="HH67" t="e">
        <f>AND(#REF!,"AAAAAHGn99c=")</f>
        <v>#REF!</v>
      </c>
      <c r="HI67" t="e">
        <f>AND(#REF!,"AAAAAHGn99g=")</f>
        <v>#REF!</v>
      </c>
      <c r="HJ67" t="e">
        <f>AND(#REF!,"AAAAAHGn99k=")</f>
        <v>#REF!</v>
      </c>
      <c r="HK67" t="e">
        <f>AND(#REF!,"AAAAAHGn99o=")</f>
        <v>#REF!</v>
      </c>
      <c r="HL67" t="e">
        <f>AND(#REF!,"AAAAAHGn99s=")</f>
        <v>#REF!</v>
      </c>
      <c r="HM67" t="e">
        <f>AND(#REF!,"AAAAAHGn99w=")</f>
        <v>#REF!</v>
      </c>
      <c r="HN67" t="e">
        <f>AND(#REF!,"AAAAAHGn990=")</f>
        <v>#REF!</v>
      </c>
      <c r="HO67" t="e">
        <f>AND(#REF!,"AAAAAHGn994=")</f>
        <v>#REF!</v>
      </c>
      <c r="HP67" t="e">
        <f>AND(#REF!,"AAAAAHGn998=")</f>
        <v>#REF!</v>
      </c>
      <c r="HQ67" t="e">
        <f>AND(#REF!,"AAAAAHGn9+A=")</f>
        <v>#REF!</v>
      </c>
      <c r="HR67" t="e">
        <f>AND(#REF!,"AAAAAHGn9+E=")</f>
        <v>#REF!</v>
      </c>
      <c r="HS67" t="e">
        <f>AND(#REF!,"AAAAAHGn9+I=")</f>
        <v>#REF!</v>
      </c>
      <c r="HT67" t="e">
        <f>AND(#REF!,"AAAAAHGn9+M=")</f>
        <v>#REF!</v>
      </c>
      <c r="HU67" t="e">
        <f>AND(#REF!,"AAAAAHGn9+Q=")</f>
        <v>#REF!</v>
      </c>
      <c r="HV67" t="e">
        <f>AND(#REF!,"AAAAAHGn9+U=")</f>
        <v>#REF!</v>
      </c>
      <c r="HW67" t="e">
        <f>AND(#REF!,"AAAAAHGn9+Y=")</f>
        <v>#REF!</v>
      </c>
      <c r="HX67" t="e">
        <f>AND(#REF!,"AAAAAHGn9+c=")</f>
        <v>#REF!</v>
      </c>
      <c r="HY67" t="e">
        <f>AND(#REF!,"AAAAAHGn9+g=")</f>
        <v>#REF!</v>
      </c>
      <c r="HZ67" t="e">
        <f>AND(#REF!,"AAAAAHGn9+k=")</f>
        <v>#REF!</v>
      </c>
      <c r="IA67" t="e">
        <f>AND(#REF!,"AAAAAHGn9+o=")</f>
        <v>#REF!</v>
      </c>
      <c r="IB67" t="e">
        <f>AND(#REF!,"AAAAAHGn9+s=")</f>
        <v>#REF!</v>
      </c>
      <c r="IC67" t="e">
        <f>AND(#REF!,"AAAAAHGn9+w=")</f>
        <v>#REF!</v>
      </c>
      <c r="ID67" t="e">
        <f>AND(#REF!,"AAAAAHGn9+0=")</f>
        <v>#REF!</v>
      </c>
      <c r="IE67" t="e">
        <f>AND(#REF!,"AAAAAHGn9+4=")</f>
        <v>#REF!</v>
      </c>
      <c r="IF67" t="e">
        <f>AND(#REF!,"AAAAAHGn9+8=")</f>
        <v>#REF!</v>
      </c>
      <c r="IG67" t="e">
        <f>AND(#REF!,"AAAAAHGn9/A=")</f>
        <v>#REF!</v>
      </c>
      <c r="IH67" t="e">
        <f>AND(#REF!,"AAAAAHGn9/E=")</f>
        <v>#REF!</v>
      </c>
      <c r="II67" t="e">
        <f>AND(#REF!,"AAAAAHGn9/I=")</f>
        <v>#REF!</v>
      </c>
      <c r="IJ67" t="e">
        <f>AND(#REF!,"AAAAAHGn9/M=")</f>
        <v>#REF!</v>
      </c>
      <c r="IK67" t="e">
        <f>AND(#REF!,"AAAAAHGn9/Q=")</f>
        <v>#REF!</v>
      </c>
      <c r="IL67" t="e">
        <f>AND(#REF!,"AAAAAHGn9/U=")</f>
        <v>#REF!</v>
      </c>
      <c r="IM67" t="e">
        <f>AND(#REF!,"AAAAAHGn9/Y=")</f>
        <v>#REF!</v>
      </c>
      <c r="IN67" t="e">
        <f>AND(#REF!,"AAAAAHGn9/c=")</f>
        <v>#REF!</v>
      </c>
      <c r="IO67" t="e">
        <f>AND(#REF!,"AAAAAHGn9/g=")</f>
        <v>#REF!</v>
      </c>
      <c r="IP67" t="e">
        <f>IF(#REF!,"AAAAAHGn9/k=",0)</f>
        <v>#REF!</v>
      </c>
      <c r="IQ67" t="e">
        <f>AND(#REF!,"AAAAAHGn9/o=")</f>
        <v>#REF!</v>
      </c>
      <c r="IR67" t="e">
        <f>AND(#REF!,"AAAAAHGn9/s=")</f>
        <v>#REF!</v>
      </c>
      <c r="IS67" t="e">
        <f>AND(#REF!,"AAAAAHGn9/w=")</f>
        <v>#REF!</v>
      </c>
      <c r="IT67" t="e">
        <f>AND(#REF!,"AAAAAHGn9/0=")</f>
        <v>#REF!</v>
      </c>
      <c r="IU67" t="e">
        <f>AND(#REF!,"AAAAAHGn9/4=")</f>
        <v>#REF!</v>
      </c>
      <c r="IV67" t="e">
        <f>AND(#REF!,"AAAAAHGn9/8=")</f>
        <v>#REF!</v>
      </c>
    </row>
    <row r="68" spans="1:256">
      <c r="A68" t="e">
        <f>AND(#REF!,"AAAAAHf/9wA=")</f>
        <v>#REF!</v>
      </c>
      <c r="B68" t="e">
        <f>AND(#REF!,"AAAAAHf/9wE=")</f>
        <v>#REF!</v>
      </c>
      <c r="C68" t="e">
        <f>AND(#REF!,"AAAAAHf/9wI=")</f>
        <v>#REF!</v>
      </c>
      <c r="D68" t="e">
        <f>AND(#REF!,"AAAAAHf/9wM=")</f>
        <v>#REF!</v>
      </c>
      <c r="E68" t="e">
        <f>AND(#REF!,"AAAAAHf/9wQ=")</f>
        <v>#REF!</v>
      </c>
      <c r="F68" t="e">
        <f>AND(#REF!,"AAAAAHf/9wU=")</f>
        <v>#REF!</v>
      </c>
      <c r="G68" t="e">
        <f>AND(#REF!,"AAAAAHf/9wY=")</f>
        <v>#REF!</v>
      </c>
      <c r="H68" t="e">
        <f>AND(#REF!,"AAAAAHf/9wc=")</f>
        <v>#REF!</v>
      </c>
      <c r="I68" t="e">
        <f>AND(#REF!,"AAAAAHf/9wg=")</f>
        <v>#REF!</v>
      </c>
      <c r="J68" t="e">
        <f>AND(#REF!,"AAAAAHf/9wk=")</f>
        <v>#REF!</v>
      </c>
      <c r="K68" t="e">
        <f>AND(#REF!,"AAAAAHf/9wo=")</f>
        <v>#REF!</v>
      </c>
      <c r="L68" t="e">
        <f>AND(#REF!,"AAAAAHf/9ws=")</f>
        <v>#REF!</v>
      </c>
      <c r="M68" t="e">
        <f>AND(#REF!,"AAAAAHf/9ww=")</f>
        <v>#REF!</v>
      </c>
      <c r="N68" t="e">
        <f>AND(#REF!,"AAAAAHf/9w0=")</f>
        <v>#REF!</v>
      </c>
      <c r="O68" t="e">
        <f>AND(#REF!,"AAAAAHf/9w4=")</f>
        <v>#REF!</v>
      </c>
      <c r="P68" t="e">
        <f>AND(#REF!,"AAAAAHf/9w8=")</f>
        <v>#REF!</v>
      </c>
      <c r="Q68" t="e">
        <f>AND(#REF!,"AAAAAHf/9xA=")</f>
        <v>#REF!</v>
      </c>
      <c r="R68" t="e">
        <f>AND(#REF!,"AAAAAHf/9xE=")</f>
        <v>#REF!</v>
      </c>
      <c r="S68" t="e">
        <f>AND(#REF!,"AAAAAHf/9xI=")</f>
        <v>#REF!</v>
      </c>
      <c r="T68" t="e">
        <f>AND(#REF!,"AAAAAHf/9xM=")</f>
        <v>#REF!</v>
      </c>
      <c r="U68" t="e">
        <f>AND(#REF!,"AAAAAHf/9xQ=")</f>
        <v>#REF!</v>
      </c>
      <c r="V68" t="e">
        <f>AND(#REF!,"AAAAAHf/9xU=")</f>
        <v>#REF!</v>
      </c>
      <c r="W68" t="e">
        <f>AND(#REF!,"AAAAAHf/9xY=")</f>
        <v>#REF!</v>
      </c>
      <c r="X68" t="e">
        <f>AND(#REF!,"AAAAAHf/9xc=")</f>
        <v>#REF!</v>
      </c>
      <c r="Y68" t="e">
        <f>AND(#REF!,"AAAAAHf/9xg=")</f>
        <v>#REF!</v>
      </c>
      <c r="Z68" t="e">
        <f>AND(#REF!,"AAAAAHf/9xk=")</f>
        <v>#REF!</v>
      </c>
      <c r="AA68" t="e">
        <f>AND(#REF!,"AAAAAHf/9xo=")</f>
        <v>#REF!</v>
      </c>
      <c r="AB68" t="e">
        <f>AND(#REF!,"AAAAAHf/9xs=")</f>
        <v>#REF!</v>
      </c>
      <c r="AC68" t="e">
        <f>AND(#REF!,"AAAAAHf/9xw=")</f>
        <v>#REF!</v>
      </c>
      <c r="AD68" t="e">
        <f>AND(#REF!,"AAAAAHf/9x0=")</f>
        <v>#REF!</v>
      </c>
      <c r="AE68" t="e">
        <f>AND(#REF!,"AAAAAHf/9x4=")</f>
        <v>#REF!</v>
      </c>
      <c r="AF68" t="e">
        <f>AND(#REF!,"AAAAAHf/9x8=")</f>
        <v>#REF!</v>
      </c>
      <c r="AG68" t="e">
        <f>AND(#REF!,"AAAAAHf/9yA=")</f>
        <v>#REF!</v>
      </c>
      <c r="AH68" t="e">
        <f>AND(#REF!,"AAAAAHf/9yE=")</f>
        <v>#REF!</v>
      </c>
      <c r="AI68" t="e">
        <f>AND(#REF!,"AAAAAHf/9yI=")</f>
        <v>#REF!</v>
      </c>
      <c r="AJ68" t="e">
        <f>IF(#REF!,"AAAAAHf/9yM=",0)</f>
        <v>#REF!</v>
      </c>
      <c r="AK68" t="e">
        <f>AND(#REF!,"AAAAAHf/9yQ=")</f>
        <v>#REF!</v>
      </c>
      <c r="AL68" t="e">
        <f>AND(#REF!,"AAAAAHf/9yU=")</f>
        <v>#REF!</v>
      </c>
      <c r="AM68" t="e">
        <f>AND(#REF!,"AAAAAHf/9yY=")</f>
        <v>#REF!</v>
      </c>
      <c r="AN68" t="e">
        <f>AND(#REF!,"AAAAAHf/9yc=")</f>
        <v>#REF!</v>
      </c>
      <c r="AO68" t="e">
        <f>AND(#REF!,"AAAAAHf/9yg=")</f>
        <v>#REF!</v>
      </c>
      <c r="AP68" t="e">
        <f>AND(#REF!,"AAAAAHf/9yk=")</f>
        <v>#REF!</v>
      </c>
      <c r="AQ68" t="e">
        <f>AND(#REF!,"AAAAAHf/9yo=")</f>
        <v>#REF!</v>
      </c>
      <c r="AR68" t="e">
        <f>AND(#REF!,"AAAAAHf/9ys=")</f>
        <v>#REF!</v>
      </c>
      <c r="AS68" t="e">
        <f>AND(#REF!,"AAAAAHf/9yw=")</f>
        <v>#REF!</v>
      </c>
      <c r="AT68" t="e">
        <f>AND(#REF!,"AAAAAHf/9y0=")</f>
        <v>#REF!</v>
      </c>
      <c r="AU68" t="e">
        <f>AND(#REF!,"AAAAAHf/9y4=")</f>
        <v>#REF!</v>
      </c>
      <c r="AV68" t="e">
        <f>AND(#REF!,"AAAAAHf/9y8=")</f>
        <v>#REF!</v>
      </c>
      <c r="AW68" t="e">
        <f>AND(#REF!,"AAAAAHf/9zA=")</f>
        <v>#REF!</v>
      </c>
      <c r="AX68" t="e">
        <f>AND(#REF!,"AAAAAHf/9zE=")</f>
        <v>#REF!</v>
      </c>
      <c r="AY68" t="e">
        <f>AND(#REF!,"AAAAAHf/9zI=")</f>
        <v>#REF!</v>
      </c>
      <c r="AZ68" t="e">
        <f>AND(#REF!,"AAAAAHf/9zM=")</f>
        <v>#REF!</v>
      </c>
      <c r="BA68" t="e">
        <f>AND(#REF!,"AAAAAHf/9zQ=")</f>
        <v>#REF!</v>
      </c>
      <c r="BB68" t="e">
        <f>AND(#REF!,"AAAAAHf/9zU=")</f>
        <v>#REF!</v>
      </c>
      <c r="BC68" t="e">
        <f>AND(#REF!,"AAAAAHf/9zY=")</f>
        <v>#REF!</v>
      </c>
      <c r="BD68" t="e">
        <f>AND(#REF!,"AAAAAHf/9zc=")</f>
        <v>#REF!</v>
      </c>
      <c r="BE68" t="e">
        <f>AND(#REF!,"AAAAAHf/9zg=")</f>
        <v>#REF!</v>
      </c>
      <c r="BF68" t="e">
        <f>AND(#REF!,"AAAAAHf/9zk=")</f>
        <v>#REF!</v>
      </c>
      <c r="BG68" t="e">
        <f>AND(#REF!,"AAAAAHf/9zo=")</f>
        <v>#REF!</v>
      </c>
      <c r="BH68" t="e">
        <f>AND(#REF!,"AAAAAHf/9zs=")</f>
        <v>#REF!</v>
      </c>
      <c r="BI68" t="e">
        <f>AND(#REF!,"AAAAAHf/9zw=")</f>
        <v>#REF!</v>
      </c>
      <c r="BJ68" t="e">
        <f>AND(#REF!,"AAAAAHf/9z0=")</f>
        <v>#REF!</v>
      </c>
      <c r="BK68" t="e">
        <f>AND(#REF!,"AAAAAHf/9z4=")</f>
        <v>#REF!</v>
      </c>
      <c r="BL68" t="e">
        <f>AND(#REF!,"AAAAAHf/9z8=")</f>
        <v>#REF!</v>
      </c>
      <c r="BM68" t="e">
        <f>AND(#REF!,"AAAAAHf/90A=")</f>
        <v>#REF!</v>
      </c>
      <c r="BN68" t="e">
        <f>AND(#REF!,"AAAAAHf/90E=")</f>
        <v>#REF!</v>
      </c>
      <c r="BO68" t="e">
        <f>AND(#REF!,"AAAAAHf/90I=")</f>
        <v>#REF!</v>
      </c>
      <c r="BP68" t="e">
        <f>AND(#REF!,"AAAAAHf/90M=")</f>
        <v>#REF!</v>
      </c>
      <c r="BQ68" t="e">
        <f>AND(#REF!,"AAAAAHf/90Q=")</f>
        <v>#REF!</v>
      </c>
      <c r="BR68" t="e">
        <f>AND(#REF!,"AAAAAHf/90U=")</f>
        <v>#REF!</v>
      </c>
      <c r="BS68" t="e">
        <f>AND(#REF!,"AAAAAHf/90Y=")</f>
        <v>#REF!</v>
      </c>
      <c r="BT68" t="e">
        <f>AND(#REF!,"AAAAAHf/90c=")</f>
        <v>#REF!</v>
      </c>
      <c r="BU68" t="e">
        <f>AND(#REF!,"AAAAAHf/90g=")</f>
        <v>#REF!</v>
      </c>
      <c r="BV68" t="e">
        <f>AND(#REF!,"AAAAAHf/90k=")</f>
        <v>#REF!</v>
      </c>
      <c r="BW68" t="e">
        <f>AND(#REF!,"AAAAAHf/90o=")</f>
        <v>#REF!</v>
      </c>
      <c r="BX68" t="e">
        <f>AND(#REF!,"AAAAAHf/90s=")</f>
        <v>#REF!</v>
      </c>
      <c r="BY68" t="e">
        <f>AND(#REF!,"AAAAAHf/90w=")</f>
        <v>#REF!</v>
      </c>
      <c r="BZ68" t="e">
        <f>IF(#REF!,"AAAAAHf/900=",0)</f>
        <v>#REF!</v>
      </c>
      <c r="CA68" t="e">
        <f>AND(#REF!,"AAAAAHf/904=")</f>
        <v>#REF!</v>
      </c>
      <c r="CB68" t="e">
        <f>AND(#REF!,"AAAAAHf/908=")</f>
        <v>#REF!</v>
      </c>
      <c r="CC68" t="e">
        <f>AND(#REF!,"AAAAAHf/91A=")</f>
        <v>#REF!</v>
      </c>
      <c r="CD68" t="e">
        <f>AND(#REF!,"AAAAAHf/91E=")</f>
        <v>#REF!</v>
      </c>
      <c r="CE68" t="e">
        <f>AND(#REF!,"AAAAAHf/91I=")</f>
        <v>#REF!</v>
      </c>
      <c r="CF68" t="e">
        <f>AND(#REF!,"AAAAAHf/91M=")</f>
        <v>#REF!</v>
      </c>
      <c r="CG68" t="e">
        <f>AND(#REF!,"AAAAAHf/91Q=")</f>
        <v>#REF!</v>
      </c>
      <c r="CH68" t="e">
        <f>AND(#REF!,"AAAAAHf/91U=")</f>
        <v>#REF!</v>
      </c>
      <c r="CI68" t="e">
        <f>AND(#REF!,"AAAAAHf/91Y=")</f>
        <v>#REF!</v>
      </c>
      <c r="CJ68" t="e">
        <f>AND(#REF!,"AAAAAHf/91c=")</f>
        <v>#REF!</v>
      </c>
      <c r="CK68" t="e">
        <f>AND(#REF!,"AAAAAHf/91g=")</f>
        <v>#REF!</v>
      </c>
      <c r="CL68" t="e">
        <f>AND(#REF!,"AAAAAHf/91k=")</f>
        <v>#REF!</v>
      </c>
      <c r="CM68" t="e">
        <f>AND(#REF!,"AAAAAHf/91o=")</f>
        <v>#REF!</v>
      </c>
      <c r="CN68" t="e">
        <f>AND(#REF!,"AAAAAHf/91s=")</f>
        <v>#REF!</v>
      </c>
      <c r="CO68" t="e">
        <f>AND(#REF!,"AAAAAHf/91w=")</f>
        <v>#REF!</v>
      </c>
      <c r="CP68" t="e">
        <f>AND(#REF!,"AAAAAHf/910=")</f>
        <v>#REF!</v>
      </c>
      <c r="CQ68" t="e">
        <f>AND(#REF!,"AAAAAHf/914=")</f>
        <v>#REF!</v>
      </c>
      <c r="CR68" t="e">
        <f>AND(#REF!,"AAAAAHf/918=")</f>
        <v>#REF!</v>
      </c>
      <c r="CS68" t="e">
        <f>AND(#REF!,"AAAAAHf/92A=")</f>
        <v>#REF!</v>
      </c>
      <c r="CT68" t="e">
        <f>AND(#REF!,"AAAAAHf/92E=")</f>
        <v>#REF!</v>
      </c>
      <c r="CU68" t="e">
        <f>AND(#REF!,"AAAAAHf/92I=")</f>
        <v>#REF!</v>
      </c>
      <c r="CV68" t="e">
        <f>AND(#REF!,"AAAAAHf/92M=")</f>
        <v>#REF!</v>
      </c>
      <c r="CW68" t="e">
        <f>AND(#REF!,"AAAAAHf/92Q=")</f>
        <v>#REF!</v>
      </c>
      <c r="CX68" t="e">
        <f>AND(#REF!,"AAAAAHf/92U=")</f>
        <v>#REF!</v>
      </c>
      <c r="CY68" t="e">
        <f>AND(#REF!,"AAAAAHf/92Y=")</f>
        <v>#REF!</v>
      </c>
      <c r="CZ68" t="e">
        <f>AND(#REF!,"AAAAAHf/92c=")</f>
        <v>#REF!</v>
      </c>
      <c r="DA68" t="e">
        <f>AND(#REF!,"AAAAAHf/92g=")</f>
        <v>#REF!</v>
      </c>
      <c r="DB68" t="e">
        <f>AND(#REF!,"AAAAAHf/92k=")</f>
        <v>#REF!</v>
      </c>
      <c r="DC68" t="e">
        <f>AND(#REF!,"AAAAAHf/92o=")</f>
        <v>#REF!</v>
      </c>
      <c r="DD68" t="e">
        <f>AND(#REF!,"AAAAAHf/92s=")</f>
        <v>#REF!</v>
      </c>
      <c r="DE68" t="e">
        <f>AND(#REF!,"AAAAAHf/92w=")</f>
        <v>#REF!</v>
      </c>
      <c r="DF68" t="e">
        <f>AND(#REF!,"AAAAAHf/920=")</f>
        <v>#REF!</v>
      </c>
      <c r="DG68" t="e">
        <f>AND(#REF!,"AAAAAHf/924=")</f>
        <v>#REF!</v>
      </c>
      <c r="DH68" t="e">
        <f>AND(#REF!,"AAAAAHf/928=")</f>
        <v>#REF!</v>
      </c>
      <c r="DI68" t="e">
        <f>AND(#REF!,"AAAAAHf/93A=")</f>
        <v>#REF!</v>
      </c>
      <c r="DJ68" t="e">
        <f>AND(#REF!,"AAAAAHf/93E=")</f>
        <v>#REF!</v>
      </c>
      <c r="DK68" t="e">
        <f>AND(#REF!,"AAAAAHf/93I=")</f>
        <v>#REF!</v>
      </c>
      <c r="DL68" t="e">
        <f>AND(#REF!,"AAAAAHf/93M=")</f>
        <v>#REF!</v>
      </c>
      <c r="DM68" t="e">
        <f>AND(#REF!,"AAAAAHf/93Q=")</f>
        <v>#REF!</v>
      </c>
      <c r="DN68" t="e">
        <f>AND(#REF!,"AAAAAHf/93U=")</f>
        <v>#REF!</v>
      </c>
      <c r="DO68" t="e">
        <f>AND(#REF!,"AAAAAHf/93Y=")</f>
        <v>#REF!</v>
      </c>
      <c r="DP68" t="e">
        <f>IF(#REF!,"AAAAAHf/93c=",0)</f>
        <v>#REF!</v>
      </c>
      <c r="DQ68" t="e">
        <f>AND(#REF!,"AAAAAHf/93g=")</f>
        <v>#REF!</v>
      </c>
      <c r="DR68" t="e">
        <f>AND(#REF!,"AAAAAHf/93k=")</f>
        <v>#REF!</v>
      </c>
      <c r="DS68" t="e">
        <f>AND(#REF!,"AAAAAHf/93o=")</f>
        <v>#REF!</v>
      </c>
      <c r="DT68" t="e">
        <f>AND(#REF!,"AAAAAHf/93s=")</f>
        <v>#REF!</v>
      </c>
      <c r="DU68" t="e">
        <f>AND(#REF!,"AAAAAHf/93w=")</f>
        <v>#REF!</v>
      </c>
      <c r="DV68" t="e">
        <f>AND(#REF!,"AAAAAHf/930=")</f>
        <v>#REF!</v>
      </c>
      <c r="DW68" t="e">
        <f>AND(#REF!,"AAAAAHf/934=")</f>
        <v>#REF!</v>
      </c>
      <c r="DX68" t="e">
        <f>AND(#REF!,"AAAAAHf/938=")</f>
        <v>#REF!</v>
      </c>
      <c r="DY68" t="e">
        <f>AND(#REF!,"AAAAAHf/94A=")</f>
        <v>#REF!</v>
      </c>
      <c r="DZ68" t="e">
        <f>AND(#REF!,"AAAAAHf/94E=")</f>
        <v>#REF!</v>
      </c>
      <c r="EA68" t="e">
        <f>AND(#REF!,"AAAAAHf/94I=")</f>
        <v>#REF!</v>
      </c>
      <c r="EB68" t="e">
        <f>AND(#REF!,"AAAAAHf/94M=")</f>
        <v>#REF!</v>
      </c>
      <c r="EC68" t="e">
        <f>AND(#REF!,"AAAAAHf/94Q=")</f>
        <v>#REF!</v>
      </c>
      <c r="ED68" t="e">
        <f>AND(#REF!,"AAAAAHf/94U=")</f>
        <v>#REF!</v>
      </c>
      <c r="EE68" t="e">
        <f>AND(#REF!,"AAAAAHf/94Y=")</f>
        <v>#REF!</v>
      </c>
      <c r="EF68" t="e">
        <f>AND(#REF!,"AAAAAHf/94c=")</f>
        <v>#REF!</v>
      </c>
      <c r="EG68" t="e">
        <f>AND(#REF!,"AAAAAHf/94g=")</f>
        <v>#REF!</v>
      </c>
      <c r="EH68" t="e">
        <f>AND(#REF!,"AAAAAHf/94k=")</f>
        <v>#REF!</v>
      </c>
      <c r="EI68" t="e">
        <f>AND(#REF!,"AAAAAHf/94o=")</f>
        <v>#REF!</v>
      </c>
      <c r="EJ68" t="e">
        <f>AND(#REF!,"AAAAAHf/94s=")</f>
        <v>#REF!</v>
      </c>
      <c r="EK68" t="e">
        <f>AND(#REF!,"AAAAAHf/94w=")</f>
        <v>#REF!</v>
      </c>
      <c r="EL68" t="e">
        <f>AND(#REF!,"AAAAAHf/940=")</f>
        <v>#REF!</v>
      </c>
      <c r="EM68" t="e">
        <f>AND(#REF!,"AAAAAHf/944=")</f>
        <v>#REF!</v>
      </c>
      <c r="EN68" t="e">
        <f>AND(#REF!,"AAAAAHf/948=")</f>
        <v>#REF!</v>
      </c>
      <c r="EO68" t="e">
        <f>AND(#REF!,"AAAAAHf/95A=")</f>
        <v>#REF!</v>
      </c>
      <c r="EP68" t="e">
        <f>AND(#REF!,"AAAAAHf/95E=")</f>
        <v>#REF!</v>
      </c>
      <c r="EQ68" t="e">
        <f>AND(#REF!,"AAAAAHf/95I=")</f>
        <v>#REF!</v>
      </c>
      <c r="ER68" t="e">
        <f>AND(#REF!,"AAAAAHf/95M=")</f>
        <v>#REF!</v>
      </c>
      <c r="ES68" t="e">
        <f>AND(#REF!,"AAAAAHf/95Q=")</f>
        <v>#REF!</v>
      </c>
      <c r="ET68" t="e">
        <f>AND(#REF!,"AAAAAHf/95U=")</f>
        <v>#REF!</v>
      </c>
      <c r="EU68" t="e">
        <f>AND(#REF!,"AAAAAHf/95Y=")</f>
        <v>#REF!</v>
      </c>
      <c r="EV68" t="e">
        <f>AND(#REF!,"AAAAAHf/95c=")</f>
        <v>#REF!</v>
      </c>
      <c r="EW68" t="e">
        <f>AND(#REF!,"AAAAAHf/95g=")</f>
        <v>#REF!</v>
      </c>
      <c r="EX68" t="e">
        <f>AND(#REF!,"AAAAAHf/95k=")</f>
        <v>#REF!</v>
      </c>
      <c r="EY68" t="e">
        <f>AND(#REF!,"AAAAAHf/95o=")</f>
        <v>#REF!</v>
      </c>
      <c r="EZ68" t="e">
        <f>AND(#REF!,"AAAAAHf/95s=")</f>
        <v>#REF!</v>
      </c>
      <c r="FA68" t="e">
        <f>AND(#REF!,"AAAAAHf/95w=")</f>
        <v>#REF!</v>
      </c>
      <c r="FB68" t="e">
        <f>AND(#REF!,"AAAAAHf/950=")</f>
        <v>#REF!</v>
      </c>
      <c r="FC68" t="e">
        <f>AND(#REF!,"AAAAAHf/954=")</f>
        <v>#REF!</v>
      </c>
      <c r="FD68" t="e">
        <f>AND(#REF!,"AAAAAHf/958=")</f>
        <v>#REF!</v>
      </c>
      <c r="FE68" t="e">
        <f>AND(#REF!,"AAAAAHf/96A=")</f>
        <v>#REF!</v>
      </c>
      <c r="FF68" t="e">
        <f>IF(#REF!,"AAAAAHf/96E=",0)</f>
        <v>#REF!</v>
      </c>
      <c r="FG68" t="e">
        <f>IF(#REF!,"AAAAAHf/96I=",0)</f>
        <v>#REF!</v>
      </c>
      <c r="FH68" t="e">
        <f>IF(#REF!,"AAAAAHf/96M=",0)</f>
        <v>#REF!</v>
      </c>
      <c r="FI68" t="e">
        <f>IF(#REF!,"AAAAAHf/96Q=",0)</f>
        <v>#REF!</v>
      </c>
      <c r="FJ68" t="e">
        <f>IF(#REF!,"AAAAAHf/96U=",0)</f>
        <v>#REF!</v>
      </c>
      <c r="FK68" t="e">
        <f>IF(#REF!,"AAAAAHf/96Y=",0)</f>
        <v>#REF!</v>
      </c>
      <c r="FL68" t="e">
        <f>IF(#REF!,"AAAAAHf/96c=",0)</f>
        <v>#REF!</v>
      </c>
      <c r="FM68" t="e">
        <f>IF(#REF!,"AAAAAHf/96g=",0)</f>
        <v>#REF!</v>
      </c>
      <c r="FN68" t="e">
        <f>IF(#REF!,"AAAAAHf/96k=",0)</f>
        <v>#REF!</v>
      </c>
      <c r="FO68" t="e">
        <f>IF(#REF!,"AAAAAHf/96o=",0)</f>
        <v>#REF!</v>
      </c>
      <c r="FP68" t="e">
        <f>IF(#REF!,"AAAAAHf/96s=",0)</f>
        <v>#REF!</v>
      </c>
      <c r="FQ68" t="e">
        <f>IF(#REF!,"AAAAAHf/96w=",0)</f>
        <v>#REF!</v>
      </c>
      <c r="FR68" t="e">
        <f>IF(#REF!,"AAAAAHf/960=",0)</f>
        <v>#REF!</v>
      </c>
      <c r="FS68" t="e">
        <f>IF(#REF!,"AAAAAHf/964=",0)</f>
        <v>#REF!</v>
      </c>
      <c r="FT68" t="e">
        <f>IF(#REF!,"AAAAAHf/968=",0)</f>
        <v>#REF!</v>
      </c>
      <c r="FU68" t="e">
        <f>IF(#REF!,"AAAAAHf/97A=",0)</f>
        <v>#REF!</v>
      </c>
      <c r="FV68" t="e">
        <f>IF(#REF!,"AAAAAHf/97E=",0)</f>
        <v>#REF!</v>
      </c>
      <c r="FW68" t="e">
        <f>IF(#REF!,"AAAAAHf/97I=",0)</f>
        <v>#REF!</v>
      </c>
      <c r="FX68" t="e">
        <f>IF(#REF!,"AAAAAHf/97M=",0)</f>
        <v>#REF!</v>
      </c>
      <c r="FY68" t="e">
        <f>IF(#REF!,"AAAAAHf/97Q=",0)</f>
        <v>#REF!</v>
      </c>
      <c r="FZ68" t="e">
        <f>IF(#REF!,"AAAAAHf/97U=",0)</f>
        <v>#REF!</v>
      </c>
      <c r="GA68" t="e">
        <f>IF(#REF!,"AAAAAHf/97Y=",0)</f>
        <v>#REF!</v>
      </c>
      <c r="GB68" t="e">
        <f>IF(#REF!,"AAAAAHf/97c=",0)</f>
        <v>#REF!</v>
      </c>
      <c r="GC68" t="e">
        <f>IF(#REF!,"AAAAAHf/97g=",0)</f>
        <v>#REF!</v>
      </c>
      <c r="GD68" t="e">
        <f>IF(#REF!,"AAAAAHf/97k=",0)</f>
        <v>#REF!</v>
      </c>
      <c r="GE68" t="e">
        <f>IF(#REF!,"AAAAAHf/97o=",0)</f>
        <v>#REF!</v>
      </c>
      <c r="GF68" t="e">
        <f>IF(#REF!,"AAAAAHf/97s=",0)</f>
        <v>#REF!</v>
      </c>
      <c r="GG68" t="e">
        <f>IF(#REF!,"AAAAAHf/97w=",0)</f>
        <v>#REF!</v>
      </c>
      <c r="GH68" t="e">
        <f>IF(#REF!,"AAAAAHf/970=",0)</f>
        <v>#REF!</v>
      </c>
      <c r="GI68" t="e">
        <f>IF(#REF!,"AAAAAHf/974=",0)</f>
        <v>#REF!</v>
      </c>
      <c r="GJ68" t="e">
        <f>IF(#REF!,"AAAAAHf/978=",0)</f>
        <v>#REF!</v>
      </c>
      <c r="GK68" t="e">
        <f>IF(#REF!,"AAAAAHf/98A=",0)</f>
        <v>#REF!</v>
      </c>
      <c r="GL68" t="e">
        <f>IF(#REF!,"AAAAAHf/98E=",0)</f>
        <v>#REF!</v>
      </c>
      <c r="GM68" t="e">
        <f>IF(#REF!,"AAAAAHf/98I=",0)</f>
        <v>#REF!</v>
      </c>
      <c r="GN68" t="e">
        <f>IF(#REF!,"AAAAAHf/98M=",0)</f>
        <v>#REF!</v>
      </c>
      <c r="GO68" t="e">
        <f>IF(#REF!,"AAAAAHf/98Q=",0)</f>
        <v>#REF!</v>
      </c>
      <c r="GP68" t="e">
        <f>IF(#REF!,"AAAAAHf/98U=",0)</f>
        <v>#REF!</v>
      </c>
      <c r="GQ68" t="e">
        <f>IF(#REF!,"AAAAAHf/98Y=",0)</f>
        <v>#REF!</v>
      </c>
      <c r="GR68" t="e">
        <f>IF(#REF!,"AAAAAHf/98c=",0)</f>
        <v>#REF!</v>
      </c>
      <c r="GS68" t="e">
        <f>IF(#REF!,"AAAAAHf/98g=",0)</f>
        <v>#REF!</v>
      </c>
      <c r="GT68" t="e">
        <f>IF(#REF!,"AAAAAHf/98k=",0)</f>
        <v>#REF!</v>
      </c>
      <c r="GU68" t="e">
        <f>IF(#REF!,"AAAAAHf/98o=",0)</f>
        <v>#REF!</v>
      </c>
      <c r="GV68" t="e">
        <f>IF(#REF!,"AAAAAHf/98s=",0)</f>
        <v>#REF!</v>
      </c>
      <c r="GW68" t="e">
        <f>IF(#REF!,"AAAAAHf/98w=",0)</f>
        <v>#REF!</v>
      </c>
      <c r="GX68" t="e">
        <f>IF(#REF!,"AAAAAHf/980=",0)</f>
        <v>#REF!</v>
      </c>
      <c r="GY68" t="e">
        <f>IF(#REF!,"AAAAAHf/984=",0)</f>
        <v>#REF!</v>
      </c>
      <c r="GZ68" t="e">
        <f>IF(#REF!,"AAAAAHf/988=",0)</f>
        <v>#REF!</v>
      </c>
      <c r="HA68" t="e">
        <f>IF(#REF!,"AAAAAHf/99A=",0)</f>
        <v>#REF!</v>
      </c>
      <c r="HB68" t="e">
        <f>IF(#REF!,"AAAAAHf/99E=",0)</f>
        <v>#REF!</v>
      </c>
      <c r="HC68" t="e">
        <f>IF(#REF!,"AAAAAHf/99I=",0)</f>
        <v>#REF!</v>
      </c>
      <c r="HD68" t="e">
        <f>IF(#REF!,"AAAAAHf/99M=",0)</f>
        <v>#REF!</v>
      </c>
      <c r="HE68" t="e">
        <f>IF(#REF!,"AAAAAHf/99Q=",0)</f>
        <v>#REF!</v>
      </c>
      <c r="HF68" t="e">
        <f>IF(#REF!,"AAAAAHf/99U=",0)</f>
        <v>#REF!</v>
      </c>
      <c r="HG68" t="e">
        <f>IF(#REF!,"AAAAAHf/99Y=",0)</f>
        <v>#REF!</v>
      </c>
      <c r="HH68" t="e">
        <f>IF(#REF!,"AAAAAHf/99c=",0)</f>
        <v>#REF!</v>
      </c>
      <c r="HI68" t="e">
        <f>IF(#REF!,"AAAAAHf/99g=",0)</f>
        <v>#REF!</v>
      </c>
      <c r="HJ68" t="e">
        <f>IF(#REF!,"AAAAAHf/99k=",0)</f>
        <v>#REF!</v>
      </c>
      <c r="HK68" t="e">
        <f>IF(#REF!,"AAAAAHf/99o=",0)</f>
        <v>#REF!</v>
      </c>
      <c r="HL68" t="e">
        <f>AND(#REF!,"AAAAAHf/99s=")</f>
        <v>#REF!</v>
      </c>
      <c r="HM68" t="e">
        <f>AND(#REF!,"AAAAAHf/99w=")</f>
        <v>#REF!</v>
      </c>
      <c r="HN68" t="e">
        <f>AND(#REF!,"AAAAAHf/990=")</f>
        <v>#REF!</v>
      </c>
      <c r="HO68" t="e">
        <f>AND(#REF!,"AAAAAHf/994=")</f>
        <v>#REF!</v>
      </c>
      <c r="HP68" t="e">
        <f>AND(#REF!,"AAAAAHf/998=")</f>
        <v>#REF!</v>
      </c>
      <c r="HQ68" t="e">
        <f>AND(#REF!,"AAAAAHf/9+A=")</f>
        <v>#REF!</v>
      </c>
      <c r="HR68" t="e">
        <f>AND(#REF!,"AAAAAHf/9+E=")</f>
        <v>#REF!</v>
      </c>
      <c r="HS68" t="e">
        <f>AND(#REF!,"AAAAAHf/9+I=")</f>
        <v>#REF!</v>
      </c>
      <c r="HT68" t="e">
        <f>AND(#REF!,"AAAAAHf/9+M=")</f>
        <v>#REF!</v>
      </c>
      <c r="HU68" t="e">
        <f>AND(#REF!,"AAAAAHf/9+Q=")</f>
        <v>#REF!</v>
      </c>
      <c r="HV68" t="e">
        <f>AND(#REF!,"AAAAAHf/9+U=")</f>
        <v>#REF!</v>
      </c>
      <c r="HW68" t="e">
        <f>AND(#REF!,"AAAAAHf/9+Y=")</f>
        <v>#REF!</v>
      </c>
      <c r="HX68" t="e">
        <f>AND(#REF!,"AAAAAHf/9+c=")</f>
        <v>#REF!</v>
      </c>
      <c r="HY68" t="e">
        <f>AND(#REF!,"AAAAAHf/9+g=")</f>
        <v>#REF!</v>
      </c>
      <c r="HZ68" t="e">
        <f>AND(#REF!,"AAAAAHf/9+k=")</f>
        <v>#REF!</v>
      </c>
      <c r="IA68" t="e">
        <f>IF(#REF!,"AAAAAHf/9+o=",0)</f>
        <v>#REF!</v>
      </c>
      <c r="IB68" t="e">
        <f>AND(#REF!,"AAAAAHf/9+s=")</f>
        <v>#REF!</v>
      </c>
      <c r="IC68" t="e">
        <f>AND(#REF!,"AAAAAHf/9+w=")</f>
        <v>#REF!</v>
      </c>
      <c r="ID68" t="e">
        <f>AND(#REF!,"AAAAAHf/9+0=")</f>
        <v>#REF!</v>
      </c>
      <c r="IE68" t="e">
        <f>AND(#REF!,"AAAAAHf/9+4=")</f>
        <v>#REF!</v>
      </c>
      <c r="IF68" t="e">
        <f>AND(#REF!,"AAAAAHf/9+8=")</f>
        <v>#REF!</v>
      </c>
      <c r="IG68" t="e">
        <f>AND(#REF!,"AAAAAHf/9/A=")</f>
        <v>#REF!</v>
      </c>
      <c r="IH68" t="e">
        <f>AND(#REF!,"AAAAAHf/9/E=")</f>
        <v>#REF!</v>
      </c>
      <c r="II68" t="e">
        <f>AND(#REF!,"AAAAAHf/9/I=")</f>
        <v>#REF!</v>
      </c>
      <c r="IJ68" t="e">
        <f>AND(#REF!,"AAAAAHf/9/M=")</f>
        <v>#REF!</v>
      </c>
      <c r="IK68" t="e">
        <f>AND(#REF!,"AAAAAHf/9/Q=")</f>
        <v>#REF!</v>
      </c>
      <c r="IL68" t="e">
        <f>AND(#REF!,"AAAAAHf/9/U=")</f>
        <v>#REF!</v>
      </c>
      <c r="IM68" t="e">
        <f>AND(#REF!,"AAAAAHf/9/Y=")</f>
        <v>#REF!</v>
      </c>
      <c r="IN68" t="e">
        <f>AND(#REF!,"AAAAAHf/9/c=")</f>
        <v>#REF!</v>
      </c>
      <c r="IO68" t="e">
        <f>AND(#REF!,"AAAAAHf/9/g=")</f>
        <v>#REF!</v>
      </c>
      <c r="IP68" t="e">
        <f>AND(#REF!,"AAAAAHf/9/k=")</f>
        <v>#REF!</v>
      </c>
      <c r="IQ68" t="e">
        <f>IF(#REF!,"AAAAAHf/9/o=",0)</f>
        <v>#REF!</v>
      </c>
      <c r="IR68" t="e">
        <f>AND(#REF!,"AAAAAHf/9/s=")</f>
        <v>#REF!</v>
      </c>
      <c r="IS68" t="e">
        <f>AND(#REF!,"AAAAAHf/9/w=")</f>
        <v>#REF!</v>
      </c>
      <c r="IT68" t="e">
        <f>AND(#REF!,"AAAAAHf/9/0=")</f>
        <v>#REF!</v>
      </c>
      <c r="IU68" t="e">
        <f>AND(#REF!,"AAAAAHf/9/4=")</f>
        <v>#REF!</v>
      </c>
      <c r="IV68" t="e">
        <f>AND(#REF!,"AAAAAHf/9/8=")</f>
        <v>#REF!</v>
      </c>
    </row>
    <row r="69" spans="1:256">
      <c r="A69" t="e">
        <f>AND(#REF!,"AAAAAFk/3wA=")</f>
        <v>#REF!</v>
      </c>
      <c r="B69" t="e">
        <f>AND(#REF!,"AAAAAFk/3wE=")</f>
        <v>#REF!</v>
      </c>
      <c r="C69" t="e">
        <f>AND(#REF!,"AAAAAFk/3wI=")</f>
        <v>#REF!</v>
      </c>
      <c r="D69" t="e">
        <f>AND(#REF!,"AAAAAFk/3wM=")</f>
        <v>#REF!</v>
      </c>
      <c r="E69" t="e">
        <f>AND(#REF!,"AAAAAFk/3wQ=")</f>
        <v>#REF!</v>
      </c>
      <c r="F69" t="e">
        <f>AND(#REF!,"AAAAAFk/3wU=")</f>
        <v>#REF!</v>
      </c>
      <c r="G69" t="e">
        <f>AND(#REF!,"AAAAAFk/3wY=")</f>
        <v>#REF!</v>
      </c>
      <c r="H69" t="e">
        <f>AND(#REF!,"AAAAAFk/3wc=")</f>
        <v>#REF!</v>
      </c>
      <c r="I69" t="e">
        <f>AND(#REF!,"AAAAAFk/3wg=")</f>
        <v>#REF!</v>
      </c>
      <c r="J69" t="e">
        <f>AND(#REF!,"AAAAAFk/3wk=")</f>
        <v>#REF!</v>
      </c>
      <c r="K69" t="e">
        <f>IF(#REF!,"AAAAAFk/3wo=",0)</f>
        <v>#REF!</v>
      </c>
      <c r="L69" t="e">
        <f>AND(#REF!,"AAAAAFk/3ws=")</f>
        <v>#REF!</v>
      </c>
      <c r="M69" t="e">
        <f>AND(#REF!,"AAAAAFk/3ww=")</f>
        <v>#REF!</v>
      </c>
      <c r="N69" t="e">
        <f>AND(#REF!,"AAAAAFk/3w0=")</f>
        <v>#REF!</v>
      </c>
      <c r="O69" t="e">
        <f>AND(#REF!,"AAAAAFk/3w4=")</f>
        <v>#REF!</v>
      </c>
      <c r="P69" t="e">
        <f>AND(#REF!,"AAAAAFk/3w8=")</f>
        <v>#REF!</v>
      </c>
      <c r="Q69" t="e">
        <f>AND(#REF!,"AAAAAFk/3xA=")</f>
        <v>#REF!</v>
      </c>
      <c r="R69" t="e">
        <f>AND(#REF!,"AAAAAFk/3xE=")</f>
        <v>#REF!</v>
      </c>
      <c r="S69" t="e">
        <f>AND(#REF!,"AAAAAFk/3xI=")</f>
        <v>#REF!</v>
      </c>
      <c r="T69" t="e">
        <f>AND(#REF!,"AAAAAFk/3xM=")</f>
        <v>#REF!</v>
      </c>
      <c r="U69" t="e">
        <f>AND(#REF!,"AAAAAFk/3xQ=")</f>
        <v>#REF!</v>
      </c>
      <c r="V69" t="e">
        <f>AND(#REF!,"AAAAAFk/3xU=")</f>
        <v>#REF!</v>
      </c>
      <c r="W69" t="e">
        <f>AND(#REF!,"AAAAAFk/3xY=")</f>
        <v>#REF!</v>
      </c>
      <c r="X69" t="e">
        <f>AND(#REF!,"AAAAAFk/3xc=")</f>
        <v>#REF!</v>
      </c>
      <c r="Y69" t="e">
        <f>AND(#REF!,"AAAAAFk/3xg=")</f>
        <v>#REF!</v>
      </c>
      <c r="Z69" t="e">
        <f>AND(#REF!,"AAAAAFk/3xk=")</f>
        <v>#REF!</v>
      </c>
      <c r="AA69" t="e">
        <f>IF(#REF!,"AAAAAFk/3xo=",0)</f>
        <v>#REF!</v>
      </c>
      <c r="AB69" t="e">
        <f>AND(#REF!,"AAAAAFk/3xs=")</f>
        <v>#REF!</v>
      </c>
      <c r="AC69" t="e">
        <f>AND(#REF!,"AAAAAFk/3xw=")</f>
        <v>#REF!</v>
      </c>
      <c r="AD69" t="e">
        <f>AND(#REF!,"AAAAAFk/3x0=")</f>
        <v>#REF!</v>
      </c>
      <c r="AE69" t="e">
        <f>AND(#REF!,"AAAAAFk/3x4=")</f>
        <v>#REF!</v>
      </c>
      <c r="AF69" t="e">
        <f>AND(#REF!,"AAAAAFk/3x8=")</f>
        <v>#REF!</v>
      </c>
      <c r="AG69" t="e">
        <f>AND(#REF!,"AAAAAFk/3yA=")</f>
        <v>#REF!</v>
      </c>
      <c r="AH69" t="e">
        <f>AND(#REF!,"AAAAAFk/3yE=")</f>
        <v>#REF!</v>
      </c>
      <c r="AI69" t="e">
        <f>AND(#REF!,"AAAAAFk/3yI=")</f>
        <v>#REF!</v>
      </c>
      <c r="AJ69" t="e">
        <f>AND(#REF!,"AAAAAFk/3yM=")</f>
        <v>#REF!</v>
      </c>
      <c r="AK69" t="e">
        <f>AND(#REF!,"AAAAAFk/3yQ=")</f>
        <v>#REF!</v>
      </c>
      <c r="AL69" t="e">
        <f>AND(#REF!,"AAAAAFk/3yU=")</f>
        <v>#REF!</v>
      </c>
      <c r="AM69" t="e">
        <f>AND(#REF!,"AAAAAFk/3yY=")</f>
        <v>#REF!</v>
      </c>
      <c r="AN69" t="e">
        <f>AND(#REF!,"AAAAAFk/3yc=")</f>
        <v>#REF!</v>
      </c>
      <c r="AO69" t="e">
        <f>AND(#REF!,"AAAAAFk/3yg=")</f>
        <v>#REF!</v>
      </c>
      <c r="AP69" t="e">
        <f>AND(#REF!,"AAAAAFk/3yk=")</f>
        <v>#REF!</v>
      </c>
      <c r="AQ69" t="e">
        <f>IF(#REF!,"AAAAAFk/3yo=",0)</f>
        <v>#REF!</v>
      </c>
      <c r="AR69" t="e">
        <f>AND(#REF!,"AAAAAFk/3ys=")</f>
        <v>#REF!</v>
      </c>
      <c r="AS69" t="e">
        <f>AND(#REF!,"AAAAAFk/3yw=")</f>
        <v>#REF!</v>
      </c>
      <c r="AT69" t="e">
        <f>AND(#REF!,"AAAAAFk/3y0=")</f>
        <v>#REF!</v>
      </c>
      <c r="AU69" t="e">
        <f>AND(#REF!,"AAAAAFk/3y4=")</f>
        <v>#REF!</v>
      </c>
      <c r="AV69" t="e">
        <f>AND(#REF!,"AAAAAFk/3y8=")</f>
        <v>#REF!</v>
      </c>
      <c r="AW69" t="e">
        <f>AND(#REF!,"AAAAAFk/3zA=")</f>
        <v>#REF!</v>
      </c>
      <c r="AX69" t="e">
        <f>AND(#REF!,"AAAAAFk/3zE=")</f>
        <v>#REF!</v>
      </c>
      <c r="AY69" t="e">
        <f>AND(#REF!,"AAAAAFk/3zI=")</f>
        <v>#REF!</v>
      </c>
      <c r="AZ69" t="e">
        <f>AND(#REF!,"AAAAAFk/3zM=")</f>
        <v>#REF!</v>
      </c>
      <c r="BA69" t="e">
        <f>AND(#REF!,"AAAAAFk/3zQ=")</f>
        <v>#REF!</v>
      </c>
      <c r="BB69" t="e">
        <f>AND(#REF!,"AAAAAFk/3zU=")</f>
        <v>#REF!</v>
      </c>
      <c r="BC69" t="e">
        <f>AND(#REF!,"AAAAAFk/3zY=")</f>
        <v>#REF!</v>
      </c>
      <c r="BD69" t="e">
        <f>AND(#REF!,"AAAAAFk/3zc=")</f>
        <v>#REF!</v>
      </c>
      <c r="BE69" t="e">
        <f>AND(#REF!,"AAAAAFk/3zg=")</f>
        <v>#REF!</v>
      </c>
      <c r="BF69" t="e">
        <f>AND(#REF!,"AAAAAFk/3zk=")</f>
        <v>#REF!</v>
      </c>
      <c r="BG69" t="e">
        <f>IF(#REF!,"AAAAAFk/3zo=",0)</f>
        <v>#REF!</v>
      </c>
      <c r="BH69" t="e">
        <f>AND(#REF!,"AAAAAFk/3zs=")</f>
        <v>#REF!</v>
      </c>
      <c r="BI69" t="e">
        <f>AND(#REF!,"AAAAAFk/3zw=")</f>
        <v>#REF!</v>
      </c>
      <c r="BJ69" t="e">
        <f>AND(#REF!,"AAAAAFk/3z0=")</f>
        <v>#REF!</v>
      </c>
      <c r="BK69" t="e">
        <f>AND(#REF!,"AAAAAFk/3z4=")</f>
        <v>#REF!</v>
      </c>
      <c r="BL69" t="e">
        <f>AND(#REF!,"AAAAAFk/3z8=")</f>
        <v>#REF!</v>
      </c>
      <c r="BM69" t="e">
        <f>AND(#REF!,"AAAAAFk/30A=")</f>
        <v>#REF!</v>
      </c>
      <c r="BN69" t="e">
        <f>AND(#REF!,"AAAAAFk/30E=")</f>
        <v>#REF!</v>
      </c>
      <c r="BO69" t="e">
        <f>AND(#REF!,"AAAAAFk/30I=")</f>
        <v>#REF!</v>
      </c>
      <c r="BP69" t="e">
        <f>AND(#REF!,"AAAAAFk/30M=")</f>
        <v>#REF!</v>
      </c>
      <c r="BQ69" t="e">
        <f>AND(#REF!,"AAAAAFk/30Q=")</f>
        <v>#REF!</v>
      </c>
      <c r="BR69" t="e">
        <f>AND(#REF!,"AAAAAFk/30U=")</f>
        <v>#REF!</v>
      </c>
      <c r="BS69" t="e">
        <f>AND(#REF!,"AAAAAFk/30Y=")</f>
        <v>#REF!</v>
      </c>
      <c r="BT69" t="e">
        <f>AND(#REF!,"AAAAAFk/30c=")</f>
        <v>#REF!</v>
      </c>
      <c r="BU69" t="e">
        <f>AND(#REF!,"AAAAAFk/30g=")</f>
        <v>#REF!</v>
      </c>
      <c r="BV69" t="e">
        <f>AND(#REF!,"AAAAAFk/30k=")</f>
        <v>#REF!</v>
      </c>
      <c r="BW69" t="e">
        <f>IF(#REF!,"AAAAAFk/30o=",0)</f>
        <v>#REF!</v>
      </c>
      <c r="BX69" t="e">
        <f>AND(#REF!,"AAAAAFk/30s=")</f>
        <v>#REF!</v>
      </c>
      <c r="BY69" t="e">
        <f>AND(#REF!,"AAAAAFk/30w=")</f>
        <v>#REF!</v>
      </c>
      <c r="BZ69" t="e">
        <f>AND(#REF!,"AAAAAFk/300=")</f>
        <v>#REF!</v>
      </c>
      <c r="CA69" t="e">
        <f>AND(#REF!,"AAAAAFk/304=")</f>
        <v>#REF!</v>
      </c>
      <c r="CB69" t="e">
        <f>AND(#REF!,"AAAAAFk/308=")</f>
        <v>#REF!</v>
      </c>
      <c r="CC69" t="e">
        <f>AND(#REF!,"AAAAAFk/31A=")</f>
        <v>#REF!</v>
      </c>
      <c r="CD69" t="e">
        <f>AND(#REF!,"AAAAAFk/31E=")</f>
        <v>#REF!</v>
      </c>
      <c r="CE69" t="e">
        <f>AND(#REF!,"AAAAAFk/31I=")</f>
        <v>#REF!</v>
      </c>
      <c r="CF69" t="e">
        <f>AND(#REF!,"AAAAAFk/31M=")</f>
        <v>#REF!</v>
      </c>
      <c r="CG69" t="e">
        <f>AND(#REF!,"AAAAAFk/31Q=")</f>
        <v>#REF!</v>
      </c>
      <c r="CH69" t="e">
        <f>AND(#REF!,"AAAAAFk/31U=")</f>
        <v>#REF!</v>
      </c>
      <c r="CI69" t="e">
        <f>AND(#REF!,"AAAAAFk/31Y=")</f>
        <v>#REF!</v>
      </c>
      <c r="CJ69" t="e">
        <f>AND(#REF!,"AAAAAFk/31c=")</f>
        <v>#REF!</v>
      </c>
      <c r="CK69" t="e">
        <f>AND(#REF!,"AAAAAFk/31g=")</f>
        <v>#REF!</v>
      </c>
      <c r="CL69" t="e">
        <f>AND(#REF!,"AAAAAFk/31k=")</f>
        <v>#REF!</v>
      </c>
      <c r="CM69" t="e">
        <f>IF(#REF!,"AAAAAFk/31o=",0)</f>
        <v>#REF!</v>
      </c>
      <c r="CN69" t="e">
        <f>AND(#REF!,"AAAAAFk/31s=")</f>
        <v>#REF!</v>
      </c>
      <c r="CO69" t="e">
        <f>AND(#REF!,"AAAAAFk/31w=")</f>
        <v>#REF!</v>
      </c>
      <c r="CP69" t="e">
        <f>AND(#REF!,"AAAAAFk/310=")</f>
        <v>#REF!</v>
      </c>
      <c r="CQ69" t="e">
        <f>AND(#REF!,"AAAAAFk/314=")</f>
        <v>#REF!</v>
      </c>
      <c r="CR69" t="e">
        <f>AND(#REF!,"AAAAAFk/318=")</f>
        <v>#REF!</v>
      </c>
      <c r="CS69" t="e">
        <f>AND(#REF!,"AAAAAFk/32A=")</f>
        <v>#REF!</v>
      </c>
      <c r="CT69" t="e">
        <f>AND(#REF!,"AAAAAFk/32E=")</f>
        <v>#REF!</v>
      </c>
      <c r="CU69" t="e">
        <f>AND(#REF!,"AAAAAFk/32I=")</f>
        <v>#REF!</v>
      </c>
      <c r="CV69" t="e">
        <f>AND(#REF!,"AAAAAFk/32M=")</f>
        <v>#REF!</v>
      </c>
      <c r="CW69" t="e">
        <f>AND(#REF!,"AAAAAFk/32Q=")</f>
        <v>#REF!</v>
      </c>
      <c r="CX69" t="e">
        <f>AND(#REF!,"AAAAAFk/32U=")</f>
        <v>#REF!</v>
      </c>
      <c r="CY69" t="e">
        <f>AND(#REF!,"AAAAAFk/32Y=")</f>
        <v>#REF!</v>
      </c>
      <c r="CZ69" t="e">
        <f>AND(#REF!,"AAAAAFk/32c=")</f>
        <v>#REF!</v>
      </c>
      <c r="DA69" t="e">
        <f>AND(#REF!,"AAAAAFk/32g=")</f>
        <v>#REF!</v>
      </c>
      <c r="DB69" t="e">
        <f>AND(#REF!,"AAAAAFk/32k=")</f>
        <v>#REF!</v>
      </c>
      <c r="DC69" t="e">
        <f>IF(#REF!,"AAAAAFk/32o=",0)</f>
        <v>#REF!</v>
      </c>
      <c r="DD69" t="e">
        <f>AND(#REF!,"AAAAAFk/32s=")</f>
        <v>#REF!</v>
      </c>
      <c r="DE69" t="e">
        <f>AND(#REF!,"AAAAAFk/32w=")</f>
        <v>#REF!</v>
      </c>
      <c r="DF69" t="e">
        <f>AND(#REF!,"AAAAAFk/320=")</f>
        <v>#REF!</v>
      </c>
      <c r="DG69" t="e">
        <f>AND(#REF!,"AAAAAFk/324=")</f>
        <v>#REF!</v>
      </c>
      <c r="DH69" t="e">
        <f>AND(#REF!,"AAAAAFk/328=")</f>
        <v>#REF!</v>
      </c>
      <c r="DI69" t="e">
        <f>AND(#REF!,"AAAAAFk/33A=")</f>
        <v>#REF!</v>
      </c>
      <c r="DJ69" t="e">
        <f>AND(#REF!,"AAAAAFk/33E=")</f>
        <v>#REF!</v>
      </c>
      <c r="DK69" t="e">
        <f>AND(#REF!,"AAAAAFk/33I=")</f>
        <v>#REF!</v>
      </c>
      <c r="DL69" t="e">
        <f>AND(#REF!,"AAAAAFk/33M=")</f>
        <v>#REF!</v>
      </c>
      <c r="DM69" t="e">
        <f>AND(#REF!,"AAAAAFk/33Q=")</f>
        <v>#REF!</v>
      </c>
      <c r="DN69" t="e">
        <f>AND(#REF!,"AAAAAFk/33U=")</f>
        <v>#REF!</v>
      </c>
      <c r="DO69" t="e">
        <f>AND(#REF!,"AAAAAFk/33Y=")</f>
        <v>#REF!</v>
      </c>
      <c r="DP69" t="e">
        <f>AND(#REF!,"AAAAAFk/33c=")</f>
        <v>#REF!</v>
      </c>
      <c r="DQ69" t="e">
        <f>AND(#REF!,"AAAAAFk/33g=")</f>
        <v>#REF!</v>
      </c>
      <c r="DR69" t="e">
        <f>AND(#REF!,"AAAAAFk/33k=")</f>
        <v>#REF!</v>
      </c>
      <c r="DS69" t="e">
        <f>IF(#REF!,"AAAAAFk/33o=",0)</f>
        <v>#REF!</v>
      </c>
      <c r="DT69" t="e">
        <f>AND(#REF!,"AAAAAFk/33s=")</f>
        <v>#REF!</v>
      </c>
      <c r="DU69" t="e">
        <f>AND(#REF!,"AAAAAFk/33w=")</f>
        <v>#REF!</v>
      </c>
      <c r="DV69" t="e">
        <f>AND(#REF!,"AAAAAFk/330=")</f>
        <v>#REF!</v>
      </c>
      <c r="DW69" t="e">
        <f>AND(#REF!,"AAAAAFk/334=")</f>
        <v>#REF!</v>
      </c>
      <c r="DX69" t="e">
        <f>AND(#REF!,"AAAAAFk/338=")</f>
        <v>#REF!</v>
      </c>
      <c r="DY69" t="e">
        <f>AND(#REF!,"AAAAAFk/34A=")</f>
        <v>#REF!</v>
      </c>
      <c r="DZ69" t="e">
        <f>AND(#REF!,"AAAAAFk/34E=")</f>
        <v>#REF!</v>
      </c>
      <c r="EA69" t="e">
        <f>AND(#REF!,"AAAAAFk/34I=")</f>
        <v>#REF!</v>
      </c>
      <c r="EB69" t="e">
        <f>AND(#REF!,"AAAAAFk/34M=")</f>
        <v>#REF!</v>
      </c>
      <c r="EC69" t="e">
        <f>AND(#REF!,"AAAAAFk/34Q=")</f>
        <v>#REF!</v>
      </c>
      <c r="ED69" t="e">
        <f>AND(#REF!,"AAAAAFk/34U=")</f>
        <v>#REF!</v>
      </c>
      <c r="EE69" t="e">
        <f>AND(#REF!,"AAAAAFk/34Y=")</f>
        <v>#REF!</v>
      </c>
      <c r="EF69" t="e">
        <f>AND(#REF!,"AAAAAFk/34c=")</f>
        <v>#REF!</v>
      </c>
      <c r="EG69" t="e">
        <f>AND(#REF!,"AAAAAFk/34g=")</f>
        <v>#REF!</v>
      </c>
      <c r="EH69" t="e">
        <f>AND(#REF!,"AAAAAFk/34k=")</f>
        <v>#REF!</v>
      </c>
      <c r="EI69" t="e">
        <f>IF(#REF!,"AAAAAFk/34o=",0)</f>
        <v>#REF!</v>
      </c>
      <c r="EJ69" t="e">
        <f>AND(#REF!,"AAAAAFk/34s=")</f>
        <v>#REF!</v>
      </c>
      <c r="EK69" t="e">
        <f>AND(#REF!,"AAAAAFk/34w=")</f>
        <v>#REF!</v>
      </c>
      <c r="EL69" t="e">
        <f>AND(#REF!,"AAAAAFk/340=")</f>
        <v>#REF!</v>
      </c>
      <c r="EM69" t="e">
        <f>AND(#REF!,"AAAAAFk/344=")</f>
        <v>#REF!</v>
      </c>
      <c r="EN69" t="e">
        <f>AND(#REF!,"AAAAAFk/348=")</f>
        <v>#REF!</v>
      </c>
      <c r="EO69" t="e">
        <f>AND(#REF!,"AAAAAFk/35A=")</f>
        <v>#REF!</v>
      </c>
      <c r="EP69" t="e">
        <f>AND(#REF!,"AAAAAFk/35E=")</f>
        <v>#REF!</v>
      </c>
      <c r="EQ69" t="e">
        <f>AND(#REF!,"AAAAAFk/35I=")</f>
        <v>#REF!</v>
      </c>
      <c r="ER69" t="e">
        <f>AND(#REF!,"AAAAAFk/35M=")</f>
        <v>#REF!</v>
      </c>
      <c r="ES69" t="e">
        <f>AND(#REF!,"AAAAAFk/35Q=")</f>
        <v>#REF!</v>
      </c>
      <c r="ET69" t="e">
        <f>AND(#REF!,"AAAAAFk/35U=")</f>
        <v>#REF!</v>
      </c>
      <c r="EU69" t="e">
        <f>AND(#REF!,"AAAAAFk/35Y=")</f>
        <v>#REF!</v>
      </c>
      <c r="EV69" t="e">
        <f>AND(#REF!,"AAAAAFk/35c=")</f>
        <v>#REF!</v>
      </c>
      <c r="EW69" t="e">
        <f>AND(#REF!,"AAAAAFk/35g=")</f>
        <v>#REF!</v>
      </c>
      <c r="EX69" t="e">
        <f>AND(#REF!,"AAAAAFk/35k=")</f>
        <v>#REF!</v>
      </c>
      <c r="EY69" t="e">
        <f>IF(#REF!,"AAAAAFk/35o=",0)</f>
        <v>#REF!</v>
      </c>
      <c r="EZ69" t="e">
        <f>AND(#REF!,"AAAAAFk/35s=")</f>
        <v>#REF!</v>
      </c>
      <c r="FA69" t="e">
        <f>AND(#REF!,"AAAAAFk/35w=")</f>
        <v>#REF!</v>
      </c>
      <c r="FB69" t="e">
        <f>AND(#REF!,"AAAAAFk/350=")</f>
        <v>#REF!</v>
      </c>
      <c r="FC69" t="e">
        <f>AND(#REF!,"AAAAAFk/354=")</f>
        <v>#REF!</v>
      </c>
      <c r="FD69" t="e">
        <f>AND(#REF!,"AAAAAFk/358=")</f>
        <v>#REF!</v>
      </c>
      <c r="FE69" t="e">
        <f>AND(#REF!,"AAAAAFk/36A=")</f>
        <v>#REF!</v>
      </c>
      <c r="FF69" t="e">
        <f>AND(#REF!,"AAAAAFk/36E=")</f>
        <v>#REF!</v>
      </c>
      <c r="FG69" t="e">
        <f>AND(#REF!,"AAAAAFk/36I=")</f>
        <v>#REF!</v>
      </c>
      <c r="FH69" t="e">
        <f>AND(#REF!,"AAAAAFk/36M=")</f>
        <v>#REF!</v>
      </c>
      <c r="FI69" t="e">
        <f>AND(#REF!,"AAAAAFk/36Q=")</f>
        <v>#REF!</v>
      </c>
      <c r="FJ69" t="e">
        <f>AND(#REF!,"AAAAAFk/36U=")</f>
        <v>#REF!</v>
      </c>
      <c r="FK69" t="e">
        <f>AND(#REF!,"AAAAAFk/36Y=")</f>
        <v>#REF!</v>
      </c>
      <c r="FL69" t="e">
        <f>AND(#REF!,"AAAAAFk/36c=")</f>
        <v>#REF!</v>
      </c>
      <c r="FM69" t="e">
        <f>AND(#REF!,"AAAAAFk/36g=")</f>
        <v>#REF!</v>
      </c>
      <c r="FN69" t="e">
        <f>AND(#REF!,"AAAAAFk/36k=")</f>
        <v>#REF!</v>
      </c>
      <c r="FO69" t="e">
        <f>IF(#REF!,"AAAAAFk/36o=",0)</f>
        <v>#REF!</v>
      </c>
      <c r="FP69" t="e">
        <f>AND(#REF!,"AAAAAFk/36s=")</f>
        <v>#REF!</v>
      </c>
      <c r="FQ69" t="e">
        <f>AND(#REF!,"AAAAAFk/36w=")</f>
        <v>#REF!</v>
      </c>
      <c r="FR69" t="e">
        <f>AND(#REF!,"AAAAAFk/360=")</f>
        <v>#REF!</v>
      </c>
      <c r="FS69" t="e">
        <f>AND(#REF!,"AAAAAFk/364=")</f>
        <v>#REF!</v>
      </c>
      <c r="FT69" t="e">
        <f>AND(#REF!,"AAAAAFk/368=")</f>
        <v>#REF!</v>
      </c>
      <c r="FU69" t="e">
        <f>AND(#REF!,"AAAAAFk/37A=")</f>
        <v>#REF!</v>
      </c>
      <c r="FV69" t="e">
        <f>AND(#REF!,"AAAAAFk/37E=")</f>
        <v>#REF!</v>
      </c>
      <c r="FW69" t="e">
        <f>AND(#REF!,"AAAAAFk/37I=")</f>
        <v>#REF!</v>
      </c>
      <c r="FX69" t="e">
        <f>AND(#REF!,"AAAAAFk/37M=")</f>
        <v>#REF!</v>
      </c>
      <c r="FY69" t="e">
        <f>AND(#REF!,"AAAAAFk/37Q=")</f>
        <v>#REF!</v>
      </c>
      <c r="FZ69" t="e">
        <f>AND(#REF!,"AAAAAFk/37U=")</f>
        <v>#REF!</v>
      </c>
      <c r="GA69" t="e">
        <f>AND(#REF!,"AAAAAFk/37Y=")</f>
        <v>#REF!</v>
      </c>
      <c r="GB69" t="e">
        <f>AND(#REF!,"AAAAAFk/37c=")</f>
        <v>#REF!</v>
      </c>
      <c r="GC69" t="e">
        <f>AND(#REF!,"AAAAAFk/37g=")</f>
        <v>#REF!</v>
      </c>
      <c r="GD69" t="e">
        <f>AND(#REF!,"AAAAAFk/37k=")</f>
        <v>#REF!</v>
      </c>
      <c r="GE69" t="e">
        <f>IF(#REF!,"AAAAAFk/37o=",0)</f>
        <v>#REF!</v>
      </c>
      <c r="GF69" t="e">
        <f>AND(#REF!,"AAAAAFk/37s=")</f>
        <v>#REF!</v>
      </c>
      <c r="GG69" t="e">
        <f>AND(#REF!,"AAAAAFk/37w=")</f>
        <v>#REF!</v>
      </c>
      <c r="GH69" t="e">
        <f>AND(#REF!,"AAAAAFk/370=")</f>
        <v>#REF!</v>
      </c>
      <c r="GI69" t="e">
        <f>AND(#REF!,"AAAAAFk/374=")</f>
        <v>#REF!</v>
      </c>
      <c r="GJ69" t="e">
        <f>AND(#REF!,"AAAAAFk/378=")</f>
        <v>#REF!</v>
      </c>
      <c r="GK69" t="e">
        <f>AND(#REF!,"AAAAAFk/38A=")</f>
        <v>#REF!</v>
      </c>
      <c r="GL69" t="e">
        <f>AND(#REF!,"AAAAAFk/38E=")</f>
        <v>#REF!</v>
      </c>
      <c r="GM69" t="e">
        <f>AND(#REF!,"AAAAAFk/38I=")</f>
        <v>#REF!</v>
      </c>
      <c r="GN69" t="e">
        <f>AND(#REF!,"AAAAAFk/38M=")</f>
        <v>#REF!</v>
      </c>
      <c r="GO69" t="e">
        <f>AND(#REF!,"AAAAAFk/38Q=")</f>
        <v>#REF!</v>
      </c>
      <c r="GP69" t="e">
        <f>AND(#REF!,"AAAAAFk/38U=")</f>
        <v>#REF!</v>
      </c>
      <c r="GQ69" t="e">
        <f>AND(#REF!,"AAAAAFk/38Y=")</f>
        <v>#REF!</v>
      </c>
      <c r="GR69" t="e">
        <f>AND(#REF!,"AAAAAFk/38c=")</f>
        <v>#REF!</v>
      </c>
      <c r="GS69" t="e">
        <f>AND(#REF!,"AAAAAFk/38g=")</f>
        <v>#REF!</v>
      </c>
      <c r="GT69" t="e">
        <f>AND(#REF!,"AAAAAFk/38k=")</f>
        <v>#REF!</v>
      </c>
      <c r="GU69" t="e">
        <f>IF(#REF!,"AAAAAFk/38o=",0)</f>
        <v>#REF!</v>
      </c>
      <c r="GV69" t="e">
        <f>AND(#REF!,"AAAAAFk/38s=")</f>
        <v>#REF!</v>
      </c>
      <c r="GW69" t="e">
        <f>AND(#REF!,"AAAAAFk/38w=")</f>
        <v>#REF!</v>
      </c>
      <c r="GX69" t="e">
        <f>AND(#REF!,"AAAAAFk/380=")</f>
        <v>#REF!</v>
      </c>
      <c r="GY69" t="e">
        <f>AND(#REF!,"AAAAAFk/384=")</f>
        <v>#REF!</v>
      </c>
      <c r="GZ69" t="e">
        <f>AND(#REF!,"AAAAAFk/388=")</f>
        <v>#REF!</v>
      </c>
      <c r="HA69" t="e">
        <f>AND(#REF!,"AAAAAFk/39A=")</f>
        <v>#REF!</v>
      </c>
      <c r="HB69" t="e">
        <f>AND(#REF!,"AAAAAFk/39E=")</f>
        <v>#REF!</v>
      </c>
      <c r="HC69" t="e">
        <f>AND(#REF!,"AAAAAFk/39I=")</f>
        <v>#REF!</v>
      </c>
      <c r="HD69" t="e">
        <f>AND(#REF!,"AAAAAFk/39M=")</f>
        <v>#REF!</v>
      </c>
      <c r="HE69" t="e">
        <f>AND(#REF!,"AAAAAFk/39Q=")</f>
        <v>#REF!</v>
      </c>
      <c r="HF69" t="e">
        <f>AND(#REF!,"AAAAAFk/39U=")</f>
        <v>#REF!</v>
      </c>
      <c r="HG69" t="e">
        <f>AND(#REF!,"AAAAAFk/39Y=")</f>
        <v>#REF!</v>
      </c>
      <c r="HH69" t="e">
        <f>AND(#REF!,"AAAAAFk/39c=")</f>
        <v>#REF!</v>
      </c>
      <c r="HI69" t="e">
        <f>AND(#REF!,"AAAAAFk/39g=")</f>
        <v>#REF!</v>
      </c>
      <c r="HJ69" t="e">
        <f>AND(#REF!,"AAAAAFk/39k=")</f>
        <v>#REF!</v>
      </c>
      <c r="HK69" t="e">
        <f>IF(#REF!,"AAAAAFk/39o=",0)</f>
        <v>#REF!</v>
      </c>
      <c r="HL69" t="e">
        <f>AND(#REF!,"AAAAAFk/39s=")</f>
        <v>#REF!</v>
      </c>
      <c r="HM69" t="e">
        <f>AND(#REF!,"AAAAAFk/39w=")</f>
        <v>#REF!</v>
      </c>
      <c r="HN69" t="e">
        <f>AND(#REF!,"AAAAAFk/390=")</f>
        <v>#REF!</v>
      </c>
      <c r="HO69" t="e">
        <f>AND(#REF!,"AAAAAFk/394=")</f>
        <v>#REF!</v>
      </c>
      <c r="HP69" t="e">
        <f>AND(#REF!,"AAAAAFk/398=")</f>
        <v>#REF!</v>
      </c>
      <c r="HQ69" t="e">
        <f>AND(#REF!,"AAAAAFk/3+A=")</f>
        <v>#REF!</v>
      </c>
      <c r="HR69" t="e">
        <f>AND(#REF!,"AAAAAFk/3+E=")</f>
        <v>#REF!</v>
      </c>
      <c r="HS69" t="e">
        <f>AND(#REF!,"AAAAAFk/3+I=")</f>
        <v>#REF!</v>
      </c>
      <c r="HT69" t="e">
        <f>AND(#REF!,"AAAAAFk/3+M=")</f>
        <v>#REF!</v>
      </c>
      <c r="HU69" t="e">
        <f>AND(#REF!,"AAAAAFk/3+Q=")</f>
        <v>#REF!</v>
      </c>
      <c r="HV69" t="e">
        <f>AND(#REF!,"AAAAAFk/3+U=")</f>
        <v>#REF!</v>
      </c>
      <c r="HW69" t="e">
        <f>AND(#REF!,"AAAAAFk/3+Y=")</f>
        <v>#REF!</v>
      </c>
      <c r="HX69" t="e">
        <f>AND(#REF!,"AAAAAFk/3+c=")</f>
        <v>#REF!</v>
      </c>
      <c r="HY69" t="e">
        <f>AND(#REF!,"AAAAAFk/3+g=")</f>
        <v>#REF!</v>
      </c>
      <c r="HZ69" t="e">
        <f>AND(#REF!,"AAAAAFk/3+k=")</f>
        <v>#REF!</v>
      </c>
      <c r="IA69" t="e">
        <f>IF(#REF!,"AAAAAFk/3+o=",0)</f>
        <v>#REF!</v>
      </c>
      <c r="IB69" t="e">
        <f>AND(#REF!,"AAAAAFk/3+s=")</f>
        <v>#REF!</v>
      </c>
      <c r="IC69" t="e">
        <f>AND(#REF!,"AAAAAFk/3+w=")</f>
        <v>#REF!</v>
      </c>
      <c r="ID69" t="e">
        <f>AND(#REF!,"AAAAAFk/3+0=")</f>
        <v>#REF!</v>
      </c>
      <c r="IE69" t="e">
        <f>AND(#REF!,"AAAAAFk/3+4=")</f>
        <v>#REF!</v>
      </c>
      <c r="IF69" t="e">
        <f>AND(#REF!,"AAAAAFk/3+8=")</f>
        <v>#REF!</v>
      </c>
      <c r="IG69" t="e">
        <f>AND(#REF!,"AAAAAFk/3/A=")</f>
        <v>#REF!</v>
      </c>
      <c r="IH69" t="e">
        <f>AND(#REF!,"AAAAAFk/3/E=")</f>
        <v>#REF!</v>
      </c>
      <c r="II69" t="e">
        <f>AND(#REF!,"AAAAAFk/3/I=")</f>
        <v>#REF!</v>
      </c>
      <c r="IJ69" t="e">
        <f>AND(#REF!,"AAAAAFk/3/M=")</f>
        <v>#REF!</v>
      </c>
      <c r="IK69" t="e">
        <f>AND(#REF!,"AAAAAFk/3/Q=")</f>
        <v>#REF!</v>
      </c>
      <c r="IL69" t="e">
        <f>AND(#REF!,"AAAAAFk/3/U=")</f>
        <v>#REF!</v>
      </c>
      <c r="IM69" t="e">
        <f>AND(#REF!,"AAAAAFk/3/Y=")</f>
        <v>#REF!</v>
      </c>
      <c r="IN69" t="e">
        <f>AND(#REF!,"AAAAAFk/3/c=")</f>
        <v>#REF!</v>
      </c>
      <c r="IO69" t="e">
        <f>AND(#REF!,"AAAAAFk/3/g=")</f>
        <v>#REF!</v>
      </c>
      <c r="IP69" t="e">
        <f>AND(#REF!,"AAAAAFk/3/k=")</f>
        <v>#REF!</v>
      </c>
      <c r="IQ69" t="e">
        <f>IF(#REF!,"AAAAAFk/3/o=",0)</f>
        <v>#REF!</v>
      </c>
      <c r="IR69" t="e">
        <f>AND(#REF!,"AAAAAFk/3/s=")</f>
        <v>#REF!</v>
      </c>
      <c r="IS69" t="e">
        <f>AND(#REF!,"AAAAAFk/3/w=")</f>
        <v>#REF!</v>
      </c>
      <c r="IT69" t="e">
        <f>AND(#REF!,"AAAAAFk/3/0=")</f>
        <v>#REF!</v>
      </c>
      <c r="IU69" t="e">
        <f>AND(#REF!,"AAAAAFk/3/4=")</f>
        <v>#REF!</v>
      </c>
      <c r="IV69" t="e">
        <f>AND(#REF!,"AAAAAFk/3/8=")</f>
        <v>#REF!</v>
      </c>
    </row>
    <row r="70" spans="1:256">
      <c r="A70" t="e">
        <f>AND(#REF!,"AAAAAD9sfwA=")</f>
        <v>#REF!</v>
      </c>
      <c r="B70" t="e">
        <f>AND(#REF!,"AAAAAD9sfwE=")</f>
        <v>#REF!</v>
      </c>
      <c r="C70" t="e">
        <f>AND(#REF!,"AAAAAD9sfwI=")</f>
        <v>#REF!</v>
      </c>
      <c r="D70" t="e">
        <f>AND(#REF!,"AAAAAD9sfwM=")</f>
        <v>#REF!</v>
      </c>
      <c r="E70" t="e">
        <f>AND(#REF!,"AAAAAD9sfwQ=")</f>
        <v>#REF!</v>
      </c>
      <c r="F70" t="e">
        <f>AND(#REF!,"AAAAAD9sfwU=")</f>
        <v>#REF!</v>
      </c>
      <c r="G70" t="e">
        <f>AND(#REF!,"AAAAAD9sfwY=")</f>
        <v>#REF!</v>
      </c>
      <c r="H70" t="e">
        <f>AND(#REF!,"AAAAAD9sfwc=")</f>
        <v>#REF!</v>
      </c>
      <c r="I70" t="e">
        <f>AND(#REF!,"AAAAAD9sfwg=")</f>
        <v>#REF!</v>
      </c>
      <c r="J70" t="e">
        <f>AND(#REF!,"AAAAAD9sfwk=")</f>
        <v>#REF!</v>
      </c>
      <c r="K70" t="e">
        <f>IF(#REF!,"AAAAAD9sfwo=",0)</f>
        <v>#REF!</v>
      </c>
      <c r="L70" t="e">
        <f>AND(#REF!,"AAAAAD9sfws=")</f>
        <v>#REF!</v>
      </c>
      <c r="M70" t="e">
        <f>AND(#REF!,"AAAAAD9sfww=")</f>
        <v>#REF!</v>
      </c>
      <c r="N70" t="e">
        <f>AND(#REF!,"AAAAAD9sfw0=")</f>
        <v>#REF!</v>
      </c>
      <c r="O70" t="e">
        <f>AND(#REF!,"AAAAAD9sfw4=")</f>
        <v>#REF!</v>
      </c>
      <c r="P70" t="e">
        <f>AND(#REF!,"AAAAAD9sfw8=")</f>
        <v>#REF!</v>
      </c>
      <c r="Q70" t="e">
        <f>AND(#REF!,"AAAAAD9sfxA=")</f>
        <v>#REF!</v>
      </c>
      <c r="R70" t="e">
        <f>AND(#REF!,"AAAAAD9sfxE=")</f>
        <v>#REF!</v>
      </c>
      <c r="S70" t="e">
        <f>AND(#REF!,"AAAAAD9sfxI=")</f>
        <v>#REF!</v>
      </c>
      <c r="T70" t="e">
        <f>AND(#REF!,"AAAAAD9sfxM=")</f>
        <v>#REF!</v>
      </c>
      <c r="U70" t="e">
        <f>AND(#REF!,"AAAAAD9sfxQ=")</f>
        <v>#REF!</v>
      </c>
      <c r="V70" t="e">
        <f>AND(#REF!,"AAAAAD9sfxU=")</f>
        <v>#REF!</v>
      </c>
      <c r="W70" t="e">
        <f>AND(#REF!,"AAAAAD9sfxY=")</f>
        <v>#REF!</v>
      </c>
      <c r="X70" t="e">
        <f>AND(#REF!,"AAAAAD9sfxc=")</f>
        <v>#REF!</v>
      </c>
      <c r="Y70" t="e">
        <f>AND(#REF!,"AAAAAD9sfxg=")</f>
        <v>#REF!</v>
      </c>
      <c r="Z70" t="e">
        <f>AND(#REF!,"AAAAAD9sfxk=")</f>
        <v>#REF!</v>
      </c>
      <c r="AA70" t="e">
        <f>IF(#REF!,"AAAAAD9sfxo=",0)</f>
        <v>#REF!</v>
      </c>
      <c r="AB70" t="e">
        <f>AND(#REF!,"AAAAAD9sfxs=")</f>
        <v>#REF!</v>
      </c>
      <c r="AC70" t="e">
        <f>AND(#REF!,"AAAAAD9sfxw=")</f>
        <v>#REF!</v>
      </c>
      <c r="AD70" t="e">
        <f>AND(#REF!,"AAAAAD9sfx0=")</f>
        <v>#REF!</v>
      </c>
      <c r="AE70" t="e">
        <f>AND(#REF!,"AAAAAD9sfx4=")</f>
        <v>#REF!</v>
      </c>
      <c r="AF70" t="e">
        <f>AND(#REF!,"AAAAAD9sfx8=")</f>
        <v>#REF!</v>
      </c>
      <c r="AG70" t="e">
        <f>AND(#REF!,"AAAAAD9sfyA=")</f>
        <v>#REF!</v>
      </c>
      <c r="AH70" t="e">
        <f>AND(#REF!,"AAAAAD9sfyE=")</f>
        <v>#REF!</v>
      </c>
      <c r="AI70" t="e">
        <f>AND(#REF!,"AAAAAD9sfyI=")</f>
        <v>#REF!</v>
      </c>
      <c r="AJ70" t="e">
        <f>AND(#REF!,"AAAAAD9sfyM=")</f>
        <v>#REF!</v>
      </c>
      <c r="AK70" t="e">
        <f>AND(#REF!,"AAAAAD9sfyQ=")</f>
        <v>#REF!</v>
      </c>
      <c r="AL70" t="e">
        <f>AND(#REF!,"AAAAAD9sfyU=")</f>
        <v>#REF!</v>
      </c>
      <c r="AM70" t="e">
        <f>AND(#REF!,"AAAAAD9sfyY=")</f>
        <v>#REF!</v>
      </c>
      <c r="AN70" t="e">
        <f>AND(#REF!,"AAAAAD9sfyc=")</f>
        <v>#REF!</v>
      </c>
      <c r="AO70" t="e">
        <f>AND(#REF!,"AAAAAD9sfyg=")</f>
        <v>#REF!</v>
      </c>
      <c r="AP70" t="e">
        <f>AND(#REF!,"AAAAAD9sfyk=")</f>
        <v>#REF!</v>
      </c>
      <c r="AQ70" t="e">
        <f>IF(#REF!,"AAAAAD9sfyo=",0)</f>
        <v>#REF!</v>
      </c>
      <c r="AR70" t="e">
        <f>AND(#REF!,"AAAAAD9sfys=")</f>
        <v>#REF!</v>
      </c>
      <c r="AS70" t="e">
        <f>AND(#REF!,"AAAAAD9sfyw=")</f>
        <v>#REF!</v>
      </c>
      <c r="AT70" t="e">
        <f>AND(#REF!,"AAAAAD9sfy0=")</f>
        <v>#REF!</v>
      </c>
      <c r="AU70" t="e">
        <f>AND(#REF!,"AAAAAD9sfy4=")</f>
        <v>#REF!</v>
      </c>
      <c r="AV70" t="e">
        <f>AND(#REF!,"AAAAAD9sfy8=")</f>
        <v>#REF!</v>
      </c>
      <c r="AW70" t="e">
        <f>AND(#REF!,"AAAAAD9sfzA=")</f>
        <v>#REF!</v>
      </c>
      <c r="AX70" t="e">
        <f>AND(#REF!,"AAAAAD9sfzE=")</f>
        <v>#REF!</v>
      </c>
      <c r="AY70" t="e">
        <f>AND(#REF!,"AAAAAD9sfzI=")</f>
        <v>#REF!</v>
      </c>
      <c r="AZ70" t="e">
        <f>AND(#REF!,"AAAAAD9sfzM=")</f>
        <v>#REF!</v>
      </c>
      <c r="BA70" t="e">
        <f>AND(#REF!,"AAAAAD9sfzQ=")</f>
        <v>#REF!</v>
      </c>
      <c r="BB70" t="e">
        <f>AND(#REF!,"AAAAAD9sfzU=")</f>
        <v>#REF!</v>
      </c>
      <c r="BC70" t="e">
        <f>AND(#REF!,"AAAAAD9sfzY=")</f>
        <v>#REF!</v>
      </c>
      <c r="BD70" t="e">
        <f>AND(#REF!,"AAAAAD9sfzc=")</f>
        <v>#REF!</v>
      </c>
      <c r="BE70" t="e">
        <f>AND(#REF!,"AAAAAD9sfzg=")</f>
        <v>#REF!</v>
      </c>
      <c r="BF70" t="e">
        <f>AND(#REF!,"AAAAAD9sfzk=")</f>
        <v>#REF!</v>
      </c>
      <c r="BG70" t="e">
        <f>IF(#REF!,"AAAAAD9sfzo=",0)</f>
        <v>#REF!</v>
      </c>
      <c r="BH70" t="e">
        <f>AND(#REF!,"AAAAAD9sfzs=")</f>
        <v>#REF!</v>
      </c>
      <c r="BI70" t="e">
        <f>AND(#REF!,"AAAAAD9sfzw=")</f>
        <v>#REF!</v>
      </c>
      <c r="BJ70" t="e">
        <f>AND(#REF!,"AAAAAD9sfz0=")</f>
        <v>#REF!</v>
      </c>
      <c r="BK70" t="e">
        <f>AND(#REF!,"AAAAAD9sfz4=")</f>
        <v>#REF!</v>
      </c>
      <c r="BL70" t="e">
        <f>AND(#REF!,"AAAAAD9sfz8=")</f>
        <v>#REF!</v>
      </c>
      <c r="BM70" t="e">
        <f>AND(#REF!,"AAAAAD9sf0A=")</f>
        <v>#REF!</v>
      </c>
      <c r="BN70" t="e">
        <f>AND(#REF!,"AAAAAD9sf0E=")</f>
        <v>#REF!</v>
      </c>
      <c r="BO70" t="e">
        <f>AND(#REF!,"AAAAAD9sf0I=")</f>
        <v>#REF!</v>
      </c>
      <c r="BP70" t="e">
        <f>AND(#REF!,"AAAAAD9sf0M=")</f>
        <v>#REF!</v>
      </c>
      <c r="BQ70" t="e">
        <f>AND(#REF!,"AAAAAD9sf0Q=")</f>
        <v>#REF!</v>
      </c>
      <c r="BR70" t="e">
        <f>AND(#REF!,"AAAAAD9sf0U=")</f>
        <v>#REF!</v>
      </c>
      <c r="BS70" t="e">
        <f>AND(#REF!,"AAAAAD9sf0Y=")</f>
        <v>#REF!</v>
      </c>
      <c r="BT70" t="e">
        <f>AND(#REF!,"AAAAAD9sf0c=")</f>
        <v>#REF!</v>
      </c>
      <c r="BU70" t="e">
        <f>AND(#REF!,"AAAAAD9sf0g=")</f>
        <v>#REF!</v>
      </c>
      <c r="BV70" t="e">
        <f>AND(#REF!,"AAAAAD9sf0k=")</f>
        <v>#REF!</v>
      </c>
      <c r="BW70" t="e">
        <f>IF(#REF!,"AAAAAD9sf0o=",0)</f>
        <v>#REF!</v>
      </c>
      <c r="BX70" t="e">
        <f>AND(#REF!,"AAAAAD9sf0s=")</f>
        <v>#REF!</v>
      </c>
      <c r="BY70" t="e">
        <f>AND(#REF!,"AAAAAD9sf0w=")</f>
        <v>#REF!</v>
      </c>
      <c r="BZ70" t="e">
        <f>AND(#REF!,"AAAAAD9sf00=")</f>
        <v>#REF!</v>
      </c>
      <c r="CA70" t="e">
        <f>AND(#REF!,"AAAAAD9sf04=")</f>
        <v>#REF!</v>
      </c>
      <c r="CB70" t="e">
        <f>AND(#REF!,"AAAAAD9sf08=")</f>
        <v>#REF!</v>
      </c>
      <c r="CC70" t="e">
        <f>AND(#REF!,"AAAAAD9sf1A=")</f>
        <v>#REF!</v>
      </c>
      <c r="CD70" t="e">
        <f>AND(#REF!,"AAAAAD9sf1E=")</f>
        <v>#REF!</v>
      </c>
      <c r="CE70" t="e">
        <f>AND(#REF!,"AAAAAD9sf1I=")</f>
        <v>#REF!</v>
      </c>
      <c r="CF70" t="e">
        <f>AND(#REF!,"AAAAAD9sf1M=")</f>
        <v>#REF!</v>
      </c>
      <c r="CG70" t="e">
        <f>AND(#REF!,"AAAAAD9sf1Q=")</f>
        <v>#REF!</v>
      </c>
      <c r="CH70" t="e">
        <f>AND(#REF!,"AAAAAD9sf1U=")</f>
        <v>#REF!</v>
      </c>
      <c r="CI70" t="e">
        <f>AND(#REF!,"AAAAAD9sf1Y=")</f>
        <v>#REF!</v>
      </c>
      <c r="CJ70" t="e">
        <f>AND(#REF!,"AAAAAD9sf1c=")</f>
        <v>#REF!</v>
      </c>
      <c r="CK70" t="e">
        <f>AND(#REF!,"AAAAAD9sf1g=")</f>
        <v>#REF!</v>
      </c>
      <c r="CL70" t="e">
        <f>AND(#REF!,"AAAAAD9sf1k=")</f>
        <v>#REF!</v>
      </c>
      <c r="CM70" t="e">
        <f>IF(#REF!,"AAAAAD9sf1o=",0)</f>
        <v>#REF!</v>
      </c>
      <c r="CN70" t="e">
        <f>AND(#REF!,"AAAAAD9sf1s=")</f>
        <v>#REF!</v>
      </c>
      <c r="CO70" t="e">
        <f>AND(#REF!,"AAAAAD9sf1w=")</f>
        <v>#REF!</v>
      </c>
      <c r="CP70" t="e">
        <f>AND(#REF!,"AAAAAD9sf10=")</f>
        <v>#REF!</v>
      </c>
      <c r="CQ70" t="e">
        <f>AND(#REF!,"AAAAAD9sf14=")</f>
        <v>#REF!</v>
      </c>
      <c r="CR70" t="e">
        <f>AND(#REF!,"AAAAAD9sf18=")</f>
        <v>#REF!</v>
      </c>
      <c r="CS70" t="e">
        <f>AND(#REF!,"AAAAAD9sf2A=")</f>
        <v>#REF!</v>
      </c>
      <c r="CT70" t="e">
        <f>AND(#REF!,"AAAAAD9sf2E=")</f>
        <v>#REF!</v>
      </c>
      <c r="CU70" t="e">
        <f>AND(#REF!,"AAAAAD9sf2I=")</f>
        <v>#REF!</v>
      </c>
      <c r="CV70" t="e">
        <f>AND(#REF!,"AAAAAD9sf2M=")</f>
        <v>#REF!</v>
      </c>
      <c r="CW70" t="e">
        <f>AND(#REF!,"AAAAAD9sf2Q=")</f>
        <v>#REF!</v>
      </c>
      <c r="CX70" t="e">
        <f>AND(#REF!,"AAAAAD9sf2U=")</f>
        <v>#REF!</v>
      </c>
      <c r="CY70" t="e">
        <f>AND(#REF!,"AAAAAD9sf2Y=")</f>
        <v>#REF!</v>
      </c>
      <c r="CZ70" t="e">
        <f>AND(#REF!,"AAAAAD9sf2c=")</f>
        <v>#REF!</v>
      </c>
      <c r="DA70" t="e">
        <f>AND(#REF!,"AAAAAD9sf2g=")</f>
        <v>#REF!</v>
      </c>
      <c r="DB70" t="e">
        <f>AND(#REF!,"AAAAAD9sf2k=")</f>
        <v>#REF!</v>
      </c>
      <c r="DC70" t="e">
        <f>IF(#REF!,"AAAAAD9sf2o=",0)</f>
        <v>#REF!</v>
      </c>
      <c r="DD70" t="e">
        <f>AND(#REF!,"AAAAAD9sf2s=")</f>
        <v>#REF!</v>
      </c>
      <c r="DE70" t="e">
        <f>AND(#REF!,"AAAAAD9sf2w=")</f>
        <v>#REF!</v>
      </c>
      <c r="DF70" t="e">
        <f>AND(#REF!,"AAAAAD9sf20=")</f>
        <v>#REF!</v>
      </c>
      <c r="DG70" t="e">
        <f>AND(#REF!,"AAAAAD9sf24=")</f>
        <v>#REF!</v>
      </c>
      <c r="DH70" t="e">
        <f>AND(#REF!,"AAAAAD9sf28=")</f>
        <v>#REF!</v>
      </c>
      <c r="DI70" t="e">
        <f>AND(#REF!,"AAAAAD9sf3A=")</f>
        <v>#REF!</v>
      </c>
      <c r="DJ70" t="e">
        <f>AND(#REF!,"AAAAAD9sf3E=")</f>
        <v>#REF!</v>
      </c>
      <c r="DK70" t="e">
        <f>AND(#REF!,"AAAAAD9sf3I=")</f>
        <v>#REF!</v>
      </c>
      <c r="DL70" t="e">
        <f>AND(#REF!,"AAAAAD9sf3M=")</f>
        <v>#REF!</v>
      </c>
      <c r="DM70" t="e">
        <f>AND(#REF!,"AAAAAD9sf3Q=")</f>
        <v>#REF!</v>
      </c>
      <c r="DN70" t="e">
        <f>AND(#REF!,"AAAAAD9sf3U=")</f>
        <v>#REF!</v>
      </c>
      <c r="DO70" t="e">
        <f>AND(#REF!,"AAAAAD9sf3Y=")</f>
        <v>#REF!</v>
      </c>
      <c r="DP70" t="e">
        <f>AND(#REF!,"AAAAAD9sf3c=")</f>
        <v>#REF!</v>
      </c>
      <c r="DQ70" t="e">
        <f>AND(#REF!,"AAAAAD9sf3g=")</f>
        <v>#REF!</v>
      </c>
      <c r="DR70" t="e">
        <f>AND(#REF!,"AAAAAD9sf3k=")</f>
        <v>#REF!</v>
      </c>
      <c r="DS70" t="e">
        <f>IF(#REF!,"AAAAAD9sf3o=",0)</f>
        <v>#REF!</v>
      </c>
      <c r="DT70" t="e">
        <f>AND(#REF!,"AAAAAD9sf3s=")</f>
        <v>#REF!</v>
      </c>
      <c r="DU70" t="e">
        <f>AND(#REF!,"AAAAAD9sf3w=")</f>
        <v>#REF!</v>
      </c>
      <c r="DV70" t="e">
        <f>AND(#REF!,"AAAAAD9sf30=")</f>
        <v>#REF!</v>
      </c>
      <c r="DW70" t="e">
        <f>AND(#REF!,"AAAAAD9sf34=")</f>
        <v>#REF!</v>
      </c>
      <c r="DX70" t="e">
        <f>AND(#REF!,"AAAAAD9sf38=")</f>
        <v>#REF!</v>
      </c>
      <c r="DY70" t="e">
        <f>AND(#REF!,"AAAAAD9sf4A=")</f>
        <v>#REF!</v>
      </c>
      <c r="DZ70" t="e">
        <f>AND(#REF!,"AAAAAD9sf4E=")</f>
        <v>#REF!</v>
      </c>
      <c r="EA70" t="e">
        <f>AND(#REF!,"AAAAAD9sf4I=")</f>
        <v>#REF!</v>
      </c>
      <c r="EB70" t="e">
        <f>AND(#REF!,"AAAAAD9sf4M=")</f>
        <v>#REF!</v>
      </c>
      <c r="EC70" t="e">
        <f>AND(#REF!,"AAAAAD9sf4Q=")</f>
        <v>#REF!</v>
      </c>
      <c r="ED70" t="e">
        <f>AND(#REF!,"AAAAAD9sf4U=")</f>
        <v>#REF!</v>
      </c>
      <c r="EE70" t="e">
        <f>AND(#REF!,"AAAAAD9sf4Y=")</f>
        <v>#REF!</v>
      </c>
      <c r="EF70" t="e">
        <f>AND(#REF!,"AAAAAD9sf4c=")</f>
        <v>#REF!</v>
      </c>
      <c r="EG70" t="e">
        <f>AND(#REF!,"AAAAAD9sf4g=")</f>
        <v>#REF!</v>
      </c>
      <c r="EH70" t="e">
        <f>AND(#REF!,"AAAAAD9sf4k=")</f>
        <v>#REF!</v>
      </c>
      <c r="EI70" t="e">
        <f>IF(#REF!,"AAAAAD9sf4o=",0)</f>
        <v>#REF!</v>
      </c>
      <c r="EJ70" t="e">
        <f>AND(#REF!,"AAAAAD9sf4s=")</f>
        <v>#REF!</v>
      </c>
      <c r="EK70" t="e">
        <f>AND(#REF!,"AAAAAD9sf4w=")</f>
        <v>#REF!</v>
      </c>
      <c r="EL70" t="e">
        <f>AND(#REF!,"AAAAAD9sf40=")</f>
        <v>#REF!</v>
      </c>
      <c r="EM70" t="e">
        <f>AND(#REF!,"AAAAAD9sf44=")</f>
        <v>#REF!</v>
      </c>
      <c r="EN70" t="e">
        <f>AND(#REF!,"AAAAAD9sf48=")</f>
        <v>#REF!</v>
      </c>
      <c r="EO70" t="e">
        <f>AND(#REF!,"AAAAAD9sf5A=")</f>
        <v>#REF!</v>
      </c>
      <c r="EP70" t="e">
        <f>AND(#REF!,"AAAAAD9sf5E=")</f>
        <v>#REF!</v>
      </c>
      <c r="EQ70" t="e">
        <f>AND(#REF!,"AAAAAD9sf5I=")</f>
        <v>#REF!</v>
      </c>
      <c r="ER70" t="e">
        <f>AND(#REF!,"AAAAAD9sf5M=")</f>
        <v>#REF!</v>
      </c>
      <c r="ES70" t="e">
        <f>AND(#REF!,"AAAAAD9sf5Q=")</f>
        <v>#REF!</v>
      </c>
      <c r="ET70" t="e">
        <f>AND(#REF!,"AAAAAD9sf5U=")</f>
        <v>#REF!</v>
      </c>
      <c r="EU70" t="e">
        <f>AND(#REF!,"AAAAAD9sf5Y=")</f>
        <v>#REF!</v>
      </c>
      <c r="EV70" t="e">
        <f>AND(#REF!,"AAAAAD9sf5c=")</f>
        <v>#REF!</v>
      </c>
      <c r="EW70" t="e">
        <f>AND(#REF!,"AAAAAD9sf5g=")</f>
        <v>#REF!</v>
      </c>
      <c r="EX70" t="e">
        <f>AND(#REF!,"AAAAAD9sf5k=")</f>
        <v>#REF!</v>
      </c>
      <c r="EY70" t="e">
        <f>IF(#REF!,"AAAAAD9sf5o=",0)</f>
        <v>#REF!</v>
      </c>
      <c r="EZ70" t="e">
        <f>AND(#REF!,"AAAAAD9sf5s=")</f>
        <v>#REF!</v>
      </c>
      <c r="FA70" t="e">
        <f>AND(#REF!,"AAAAAD9sf5w=")</f>
        <v>#REF!</v>
      </c>
      <c r="FB70" t="e">
        <f>AND(#REF!,"AAAAAD9sf50=")</f>
        <v>#REF!</v>
      </c>
      <c r="FC70" t="e">
        <f>AND(#REF!,"AAAAAD9sf54=")</f>
        <v>#REF!</v>
      </c>
      <c r="FD70" t="e">
        <f>AND(#REF!,"AAAAAD9sf58=")</f>
        <v>#REF!</v>
      </c>
      <c r="FE70" t="e">
        <f>AND(#REF!,"AAAAAD9sf6A=")</f>
        <v>#REF!</v>
      </c>
      <c r="FF70" t="e">
        <f>AND(#REF!,"AAAAAD9sf6E=")</f>
        <v>#REF!</v>
      </c>
      <c r="FG70" t="e">
        <f>AND(#REF!,"AAAAAD9sf6I=")</f>
        <v>#REF!</v>
      </c>
      <c r="FH70" t="e">
        <f>AND(#REF!,"AAAAAD9sf6M=")</f>
        <v>#REF!</v>
      </c>
      <c r="FI70" t="e">
        <f>AND(#REF!,"AAAAAD9sf6Q=")</f>
        <v>#REF!</v>
      </c>
      <c r="FJ70" t="e">
        <f>AND(#REF!,"AAAAAD9sf6U=")</f>
        <v>#REF!</v>
      </c>
      <c r="FK70" t="e">
        <f>AND(#REF!,"AAAAAD9sf6Y=")</f>
        <v>#REF!</v>
      </c>
      <c r="FL70" t="e">
        <f>AND(#REF!,"AAAAAD9sf6c=")</f>
        <v>#REF!</v>
      </c>
      <c r="FM70" t="e">
        <f>AND(#REF!,"AAAAAD9sf6g=")</f>
        <v>#REF!</v>
      </c>
      <c r="FN70" t="e">
        <f>AND(#REF!,"AAAAAD9sf6k=")</f>
        <v>#REF!</v>
      </c>
      <c r="FO70" t="e">
        <f>IF(#REF!,"AAAAAD9sf6o=",0)</f>
        <v>#REF!</v>
      </c>
      <c r="FP70" t="e">
        <f>AND(#REF!,"AAAAAD9sf6s=")</f>
        <v>#REF!</v>
      </c>
      <c r="FQ70" t="e">
        <f>AND(#REF!,"AAAAAD9sf6w=")</f>
        <v>#REF!</v>
      </c>
      <c r="FR70" t="e">
        <f>AND(#REF!,"AAAAAD9sf60=")</f>
        <v>#REF!</v>
      </c>
      <c r="FS70" t="e">
        <f>AND(#REF!,"AAAAAD9sf64=")</f>
        <v>#REF!</v>
      </c>
      <c r="FT70" t="e">
        <f>AND(#REF!,"AAAAAD9sf68=")</f>
        <v>#REF!</v>
      </c>
      <c r="FU70" t="e">
        <f>AND(#REF!,"AAAAAD9sf7A=")</f>
        <v>#REF!</v>
      </c>
      <c r="FV70" t="e">
        <f>AND(#REF!,"AAAAAD9sf7E=")</f>
        <v>#REF!</v>
      </c>
      <c r="FW70" t="e">
        <f>AND(#REF!,"AAAAAD9sf7I=")</f>
        <v>#REF!</v>
      </c>
      <c r="FX70" t="e">
        <f>AND(#REF!,"AAAAAD9sf7M=")</f>
        <v>#REF!</v>
      </c>
      <c r="FY70" t="e">
        <f>AND(#REF!,"AAAAAD9sf7Q=")</f>
        <v>#REF!</v>
      </c>
      <c r="FZ70" t="e">
        <f>AND(#REF!,"AAAAAD9sf7U=")</f>
        <v>#REF!</v>
      </c>
      <c r="GA70" t="e">
        <f>AND(#REF!,"AAAAAD9sf7Y=")</f>
        <v>#REF!</v>
      </c>
      <c r="GB70" t="e">
        <f>AND(#REF!,"AAAAAD9sf7c=")</f>
        <v>#REF!</v>
      </c>
      <c r="GC70" t="e">
        <f>AND(#REF!,"AAAAAD9sf7g=")</f>
        <v>#REF!</v>
      </c>
      <c r="GD70" t="e">
        <f>AND(#REF!,"AAAAAD9sf7k=")</f>
        <v>#REF!</v>
      </c>
      <c r="GE70" t="e">
        <f>IF(#REF!,"AAAAAD9sf7o=",0)</f>
        <v>#REF!</v>
      </c>
      <c r="GF70" t="e">
        <f>AND(#REF!,"AAAAAD9sf7s=")</f>
        <v>#REF!</v>
      </c>
      <c r="GG70" t="e">
        <f>AND(#REF!,"AAAAAD9sf7w=")</f>
        <v>#REF!</v>
      </c>
      <c r="GH70" t="e">
        <f>AND(#REF!,"AAAAAD9sf70=")</f>
        <v>#REF!</v>
      </c>
      <c r="GI70" t="e">
        <f>AND(#REF!,"AAAAAD9sf74=")</f>
        <v>#REF!</v>
      </c>
      <c r="GJ70" t="e">
        <f>AND(#REF!,"AAAAAD9sf78=")</f>
        <v>#REF!</v>
      </c>
      <c r="GK70" t="e">
        <f>AND(#REF!,"AAAAAD9sf8A=")</f>
        <v>#REF!</v>
      </c>
      <c r="GL70" t="e">
        <f>AND(#REF!,"AAAAAD9sf8E=")</f>
        <v>#REF!</v>
      </c>
      <c r="GM70" t="e">
        <f>AND(#REF!,"AAAAAD9sf8I=")</f>
        <v>#REF!</v>
      </c>
      <c r="GN70" t="e">
        <f>AND(#REF!,"AAAAAD9sf8M=")</f>
        <v>#REF!</v>
      </c>
      <c r="GO70" t="e">
        <f>AND(#REF!,"AAAAAD9sf8Q=")</f>
        <v>#REF!</v>
      </c>
      <c r="GP70" t="e">
        <f>AND(#REF!,"AAAAAD9sf8U=")</f>
        <v>#REF!</v>
      </c>
      <c r="GQ70" t="e">
        <f>AND(#REF!,"AAAAAD9sf8Y=")</f>
        <v>#REF!</v>
      </c>
      <c r="GR70" t="e">
        <f>AND(#REF!,"AAAAAD9sf8c=")</f>
        <v>#REF!</v>
      </c>
      <c r="GS70" t="e">
        <f>AND(#REF!,"AAAAAD9sf8g=")</f>
        <v>#REF!</v>
      </c>
      <c r="GT70" t="e">
        <f>AND(#REF!,"AAAAAD9sf8k=")</f>
        <v>#REF!</v>
      </c>
      <c r="GU70" t="e">
        <f>IF(#REF!,"AAAAAD9sf8o=",0)</f>
        <v>#REF!</v>
      </c>
      <c r="GV70" t="e">
        <f>AND(#REF!,"AAAAAD9sf8s=")</f>
        <v>#REF!</v>
      </c>
      <c r="GW70" t="e">
        <f>AND(#REF!,"AAAAAD9sf8w=")</f>
        <v>#REF!</v>
      </c>
      <c r="GX70" t="e">
        <f>AND(#REF!,"AAAAAD9sf80=")</f>
        <v>#REF!</v>
      </c>
      <c r="GY70" t="e">
        <f>AND(#REF!,"AAAAAD9sf84=")</f>
        <v>#REF!</v>
      </c>
      <c r="GZ70" t="e">
        <f>AND(#REF!,"AAAAAD9sf88=")</f>
        <v>#REF!</v>
      </c>
      <c r="HA70" t="e">
        <f>AND(#REF!,"AAAAAD9sf9A=")</f>
        <v>#REF!</v>
      </c>
      <c r="HB70" t="e">
        <f>AND(#REF!,"AAAAAD9sf9E=")</f>
        <v>#REF!</v>
      </c>
      <c r="HC70" t="e">
        <f>AND(#REF!,"AAAAAD9sf9I=")</f>
        <v>#REF!</v>
      </c>
      <c r="HD70" t="e">
        <f>AND(#REF!,"AAAAAD9sf9M=")</f>
        <v>#REF!</v>
      </c>
      <c r="HE70" t="e">
        <f>AND(#REF!,"AAAAAD9sf9Q=")</f>
        <v>#REF!</v>
      </c>
      <c r="HF70" t="e">
        <f>AND(#REF!,"AAAAAD9sf9U=")</f>
        <v>#REF!</v>
      </c>
      <c r="HG70" t="e">
        <f>AND(#REF!,"AAAAAD9sf9Y=")</f>
        <v>#REF!</v>
      </c>
      <c r="HH70" t="e">
        <f>AND(#REF!,"AAAAAD9sf9c=")</f>
        <v>#REF!</v>
      </c>
      <c r="HI70" t="e">
        <f>AND(#REF!,"AAAAAD9sf9g=")</f>
        <v>#REF!</v>
      </c>
      <c r="HJ70" t="e">
        <f>AND(#REF!,"AAAAAD9sf9k=")</f>
        <v>#REF!</v>
      </c>
      <c r="HK70" t="e">
        <f>IF(#REF!,"AAAAAD9sf9o=",0)</f>
        <v>#REF!</v>
      </c>
      <c r="HL70" t="e">
        <f>AND(#REF!,"AAAAAD9sf9s=")</f>
        <v>#REF!</v>
      </c>
      <c r="HM70" t="e">
        <f>AND(#REF!,"AAAAAD9sf9w=")</f>
        <v>#REF!</v>
      </c>
      <c r="HN70" t="e">
        <f>AND(#REF!,"AAAAAD9sf90=")</f>
        <v>#REF!</v>
      </c>
      <c r="HO70" t="e">
        <f>AND(#REF!,"AAAAAD9sf94=")</f>
        <v>#REF!</v>
      </c>
      <c r="HP70" t="e">
        <f>AND(#REF!,"AAAAAD9sf98=")</f>
        <v>#REF!</v>
      </c>
      <c r="HQ70" t="e">
        <f>AND(#REF!,"AAAAAD9sf+A=")</f>
        <v>#REF!</v>
      </c>
      <c r="HR70" t="e">
        <f>AND(#REF!,"AAAAAD9sf+E=")</f>
        <v>#REF!</v>
      </c>
      <c r="HS70" t="e">
        <f>AND(#REF!,"AAAAAD9sf+I=")</f>
        <v>#REF!</v>
      </c>
      <c r="HT70" t="e">
        <f>AND(#REF!,"AAAAAD9sf+M=")</f>
        <v>#REF!</v>
      </c>
      <c r="HU70" t="e">
        <f>AND(#REF!,"AAAAAD9sf+Q=")</f>
        <v>#REF!</v>
      </c>
      <c r="HV70" t="e">
        <f>AND(#REF!,"AAAAAD9sf+U=")</f>
        <v>#REF!</v>
      </c>
      <c r="HW70" t="e">
        <f>AND(#REF!,"AAAAAD9sf+Y=")</f>
        <v>#REF!</v>
      </c>
      <c r="HX70" t="e">
        <f>AND(#REF!,"AAAAAD9sf+c=")</f>
        <v>#REF!</v>
      </c>
      <c r="HY70" t="e">
        <f>AND(#REF!,"AAAAAD9sf+g=")</f>
        <v>#REF!</v>
      </c>
      <c r="HZ70" t="e">
        <f>AND(#REF!,"AAAAAD9sf+k=")</f>
        <v>#REF!</v>
      </c>
      <c r="IA70" t="e">
        <f>IF(#REF!,"AAAAAD9sf+o=",0)</f>
        <v>#REF!</v>
      </c>
      <c r="IB70" t="e">
        <f>AND(#REF!,"AAAAAD9sf+s=")</f>
        <v>#REF!</v>
      </c>
      <c r="IC70" t="e">
        <f>AND(#REF!,"AAAAAD9sf+w=")</f>
        <v>#REF!</v>
      </c>
      <c r="ID70" t="e">
        <f>AND(#REF!,"AAAAAD9sf+0=")</f>
        <v>#REF!</v>
      </c>
      <c r="IE70" t="e">
        <f>AND(#REF!,"AAAAAD9sf+4=")</f>
        <v>#REF!</v>
      </c>
      <c r="IF70" t="e">
        <f>AND(#REF!,"AAAAAD9sf+8=")</f>
        <v>#REF!</v>
      </c>
      <c r="IG70" t="e">
        <f>AND(#REF!,"AAAAAD9sf/A=")</f>
        <v>#REF!</v>
      </c>
      <c r="IH70" t="e">
        <f>AND(#REF!,"AAAAAD9sf/E=")</f>
        <v>#REF!</v>
      </c>
      <c r="II70" t="e">
        <f>AND(#REF!,"AAAAAD9sf/I=")</f>
        <v>#REF!</v>
      </c>
      <c r="IJ70" t="e">
        <f>AND(#REF!,"AAAAAD9sf/M=")</f>
        <v>#REF!</v>
      </c>
      <c r="IK70" t="e">
        <f>AND(#REF!,"AAAAAD9sf/Q=")</f>
        <v>#REF!</v>
      </c>
      <c r="IL70" t="e">
        <f>AND(#REF!,"AAAAAD9sf/U=")</f>
        <v>#REF!</v>
      </c>
      <c r="IM70" t="e">
        <f>AND(#REF!,"AAAAAD9sf/Y=")</f>
        <v>#REF!</v>
      </c>
      <c r="IN70" t="e">
        <f>AND(#REF!,"AAAAAD9sf/c=")</f>
        <v>#REF!</v>
      </c>
      <c r="IO70" t="e">
        <f>AND(#REF!,"AAAAAD9sf/g=")</f>
        <v>#REF!</v>
      </c>
      <c r="IP70" t="e">
        <f>AND(#REF!,"AAAAAD9sf/k=")</f>
        <v>#REF!</v>
      </c>
      <c r="IQ70" t="e">
        <f>IF(#REF!,"AAAAAD9sf/o=",0)</f>
        <v>#REF!</v>
      </c>
      <c r="IR70" t="e">
        <f>AND(#REF!,"AAAAAD9sf/s=")</f>
        <v>#REF!</v>
      </c>
      <c r="IS70" t="e">
        <f>AND(#REF!,"AAAAAD9sf/w=")</f>
        <v>#REF!</v>
      </c>
      <c r="IT70" t="e">
        <f>AND(#REF!,"AAAAAD9sf/0=")</f>
        <v>#REF!</v>
      </c>
      <c r="IU70" t="e">
        <f>AND(#REF!,"AAAAAD9sf/4=")</f>
        <v>#REF!</v>
      </c>
      <c r="IV70" t="e">
        <f>AND(#REF!,"AAAAAD9sf/8=")</f>
        <v>#REF!</v>
      </c>
    </row>
    <row r="71" spans="1:256">
      <c r="A71" t="e">
        <f>AND(#REF!,"AAAAAE/vXwA=")</f>
        <v>#REF!</v>
      </c>
      <c r="B71" t="e">
        <f>AND(#REF!,"AAAAAE/vXwE=")</f>
        <v>#REF!</v>
      </c>
      <c r="C71" t="e">
        <f>AND(#REF!,"AAAAAE/vXwI=")</f>
        <v>#REF!</v>
      </c>
      <c r="D71" t="e">
        <f>AND(#REF!,"AAAAAE/vXwM=")</f>
        <v>#REF!</v>
      </c>
      <c r="E71" t="e">
        <f>AND(#REF!,"AAAAAE/vXwQ=")</f>
        <v>#REF!</v>
      </c>
      <c r="F71" t="e">
        <f>AND(#REF!,"AAAAAE/vXwU=")</f>
        <v>#REF!</v>
      </c>
      <c r="G71" t="e">
        <f>AND(#REF!,"AAAAAE/vXwY=")</f>
        <v>#REF!</v>
      </c>
      <c r="H71" t="e">
        <f>AND(#REF!,"AAAAAE/vXwc=")</f>
        <v>#REF!</v>
      </c>
      <c r="I71" t="e">
        <f>AND(#REF!,"AAAAAE/vXwg=")</f>
        <v>#REF!</v>
      </c>
      <c r="J71" t="e">
        <f>AND(#REF!,"AAAAAE/vXwk=")</f>
        <v>#REF!</v>
      </c>
      <c r="K71" t="e">
        <f>IF(#REF!,"AAAAAE/vXwo=",0)</f>
        <v>#REF!</v>
      </c>
      <c r="L71" t="e">
        <f>AND(#REF!,"AAAAAE/vXws=")</f>
        <v>#REF!</v>
      </c>
      <c r="M71" t="e">
        <f>AND(#REF!,"AAAAAE/vXww=")</f>
        <v>#REF!</v>
      </c>
      <c r="N71" t="e">
        <f>AND(#REF!,"AAAAAE/vXw0=")</f>
        <v>#REF!</v>
      </c>
      <c r="O71" t="e">
        <f>AND(#REF!,"AAAAAE/vXw4=")</f>
        <v>#REF!</v>
      </c>
      <c r="P71" t="e">
        <f>AND(#REF!,"AAAAAE/vXw8=")</f>
        <v>#REF!</v>
      </c>
      <c r="Q71" t="e">
        <f>AND(#REF!,"AAAAAE/vXxA=")</f>
        <v>#REF!</v>
      </c>
      <c r="R71" t="e">
        <f>AND(#REF!,"AAAAAE/vXxE=")</f>
        <v>#REF!</v>
      </c>
      <c r="S71" t="e">
        <f>AND(#REF!,"AAAAAE/vXxI=")</f>
        <v>#REF!</v>
      </c>
      <c r="T71" t="e">
        <f>AND(#REF!,"AAAAAE/vXxM=")</f>
        <v>#REF!</v>
      </c>
      <c r="U71" t="e">
        <f>AND(#REF!,"AAAAAE/vXxQ=")</f>
        <v>#REF!</v>
      </c>
      <c r="V71" t="e">
        <f>AND(#REF!,"AAAAAE/vXxU=")</f>
        <v>#REF!</v>
      </c>
      <c r="W71" t="e">
        <f>AND(#REF!,"AAAAAE/vXxY=")</f>
        <v>#REF!</v>
      </c>
      <c r="X71" t="e">
        <f>AND(#REF!,"AAAAAE/vXxc=")</f>
        <v>#REF!</v>
      </c>
      <c r="Y71" t="e">
        <f>AND(#REF!,"AAAAAE/vXxg=")</f>
        <v>#REF!</v>
      </c>
      <c r="Z71" t="e">
        <f>AND(#REF!,"AAAAAE/vXxk=")</f>
        <v>#REF!</v>
      </c>
      <c r="AA71" t="e">
        <f>IF(#REF!,"AAAAAE/vXxo=",0)</f>
        <v>#REF!</v>
      </c>
      <c r="AB71" t="e">
        <f>AND(#REF!,"AAAAAE/vXxs=")</f>
        <v>#REF!</v>
      </c>
      <c r="AC71" t="e">
        <f>AND(#REF!,"AAAAAE/vXxw=")</f>
        <v>#REF!</v>
      </c>
      <c r="AD71" t="e">
        <f>AND(#REF!,"AAAAAE/vXx0=")</f>
        <v>#REF!</v>
      </c>
      <c r="AE71" t="e">
        <f>AND(#REF!,"AAAAAE/vXx4=")</f>
        <v>#REF!</v>
      </c>
      <c r="AF71" t="e">
        <f>AND(#REF!,"AAAAAE/vXx8=")</f>
        <v>#REF!</v>
      </c>
      <c r="AG71" t="e">
        <f>AND(#REF!,"AAAAAE/vXyA=")</f>
        <v>#REF!</v>
      </c>
      <c r="AH71" t="e">
        <f>AND(#REF!,"AAAAAE/vXyE=")</f>
        <v>#REF!</v>
      </c>
      <c r="AI71" t="e">
        <f>AND(#REF!,"AAAAAE/vXyI=")</f>
        <v>#REF!</v>
      </c>
      <c r="AJ71" t="e">
        <f>AND(#REF!,"AAAAAE/vXyM=")</f>
        <v>#REF!</v>
      </c>
      <c r="AK71" t="e">
        <f>AND(#REF!,"AAAAAE/vXyQ=")</f>
        <v>#REF!</v>
      </c>
      <c r="AL71" t="e">
        <f>AND(#REF!,"AAAAAE/vXyU=")</f>
        <v>#REF!</v>
      </c>
      <c r="AM71" t="e">
        <f>AND(#REF!,"AAAAAE/vXyY=")</f>
        <v>#REF!</v>
      </c>
      <c r="AN71" t="e">
        <f>AND(#REF!,"AAAAAE/vXyc=")</f>
        <v>#REF!</v>
      </c>
      <c r="AO71" t="e">
        <f>AND(#REF!,"AAAAAE/vXyg=")</f>
        <v>#REF!</v>
      </c>
      <c r="AP71" t="e">
        <f>AND(#REF!,"AAAAAE/vXyk=")</f>
        <v>#REF!</v>
      </c>
      <c r="AQ71" t="e">
        <f>IF(#REF!,"AAAAAE/vXyo=",0)</f>
        <v>#REF!</v>
      </c>
      <c r="AR71" t="e">
        <f>AND(#REF!,"AAAAAE/vXys=")</f>
        <v>#REF!</v>
      </c>
      <c r="AS71" t="e">
        <f>AND(#REF!,"AAAAAE/vXyw=")</f>
        <v>#REF!</v>
      </c>
      <c r="AT71" t="e">
        <f>AND(#REF!,"AAAAAE/vXy0=")</f>
        <v>#REF!</v>
      </c>
      <c r="AU71" t="e">
        <f>AND(#REF!,"AAAAAE/vXy4=")</f>
        <v>#REF!</v>
      </c>
      <c r="AV71" t="e">
        <f>AND(#REF!,"AAAAAE/vXy8=")</f>
        <v>#REF!</v>
      </c>
      <c r="AW71" t="e">
        <f>AND(#REF!,"AAAAAE/vXzA=")</f>
        <v>#REF!</v>
      </c>
      <c r="AX71" t="e">
        <f>AND(#REF!,"AAAAAE/vXzE=")</f>
        <v>#REF!</v>
      </c>
      <c r="AY71" t="e">
        <f>AND(#REF!,"AAAAAE/vXzI=")</f>
        <v>#REF!</v>
      </c>
      <c r="AZ71" t="e">
        <f>AND(#REF!,"AAAAAE/vXzM=")</f>
        <v>#REF!</v>
      </c>
      <c r="BA71" t="e">
        <f>AND(#REF!,"AAAAAE/vXzQ=")</f>
        <v>#REF!</v>
      </c>
      <c r="BB71" t="e">
        <f>AND(#REF!,"AAAAAE/vXzU=")</f>
        <v>#REF!</v>
      </c>
      <c r="BC71" t="e">
        <f>AND(#REF!,"AAAAAE/vXzY=")</f>
        <v>#REF!</v>
      </c>
      <c r="BD71" t="e">
        <f>AND(#REF!,"AAAAAE/vXzc=")</f>
        <v>#REF!</v>
      </c>
      <c r="BE71" t="e">
        <f>AND(#REF!,"AAAAAE/vXzg=")</f>
        <v>#REF!</v>
      </c>
      <c r="BF71" t="e">
        <f>AND(#REF!,"AAAAAE/vXzk=")</f>
        <v>#REF!</v>
      </c>
      <c r="BG71" t="e">
        <f>IF(#REF!,"AAAAAE/vXzo=",0)</f>
        <v>#REF!</v>
      </c>
      <c r="BH71" t="e">
        <f>AND(#REF!,"AAAAAE/vXzs=")</f>
        <v>#REF!</v>
      </c>
      <c r="BI71" t="e">
        <f>AND(#REF!,"AAAAAE/vXzw=")</f>
        <v>#REF!</v>
      </c>
      <c r="BJ71" t="e">
        <f>AND(#REF!,"AAAAAE/vXz0=")</f>
        <v>#REF!</v>
      </c>
      <c r="BK71" t="e">
        <f>AND(#REF!,"AAAAAE/vXz4=")</f>
        <v>#REF!</v>
      </c>
      <c r="BL71" t="e">
        <f>AND(#REF!,"AAAAAE/vXz8=")</f>
        <v>#REF!</v>
      </c>
      <c r="BM71" t="e">
        <f>AND(#REF!,"AAAAAE/vX0A=")</f>
        <v>#REF!</v>
      </c>
      <c r="BN71" t="e">
        <f>AND(#REF!,"AAAAAE/vX0E=")</f>
        <v>#REF!</v>
      </c>
      <c r="BO71" t="e">
        <f>AND(#REF!,"AAAAAE/vX0I=")</f>
        <v>#REF!</v>
      </c>
      <c r="BP71" t="e">
        <f>AND(#REF!,"AAAAAE/vX0M=")</f>
        <v>#REF!</v>
      </c>
      <c r="BQ71" t="e">
        <f>AND(#REF!,"AAAAAE/vX0Q=")</f>
        <v>#REF!</v>
      </c>
      <c r="BR71" t="e">
        <f>AND(#REF!,"AAAAAE/vX0U=")</f>
        <v>#REF!</v>
      </c>
      <c r="BS71" t="e">
        <f>AND(#REF!,"AAAAAE/vX0Y=")</f>
        <v>#REF!</v>
      </c>
      <c r="BT71" t="e">
        <f>AND(#REF!,"AAAAAE/vX0c=")</f>
        <v>#REF!</v>
      </c>
      <c r="BU71" t="e">
        <f>AND(#REF!,"AAAAAE/vX0g=")</f>
        <v>#REF!</v>
      </c>
      <c r="BV71" t="e">
        <f>AND(#REF!,"AAAAAE/vX0k=")</f>
        <v>#REF!</v>
      </c>
      <c r="BW71" t="e">
        <f>IF(#REF!,"AAAAAE/vX0o=",0)</f>
        <v>#REF!</v>
      </c>
      <c r="BX71" t="e">
        <f>AND(#REF!,"AAAAAE/vX0s=")</f>
        <v>#REF!</v>
      </c>
      <c r="BY71" t="e">
        <f>AND(#REF!,"AAAAAE/vX0w=")</f>
        <v>#REF!</v>
      </c>
      <c r="BZ71" t="e">
        <f>AND(#REF!,"AAAAAE/vX00=")</f>
        <v>#REF!</v>
      </c>
      <c r="CA71" t="e">
        <f>AND(#REF!,"AAAAAE/vX04=")</f>
        <v>#REF!</v>
      </c>
      <c r="CB71" t="e">
        <f>AND(#REF!,"AAAAAE/vX08=")</f>
        <v>#REF!</v>
      </c>
      <c r="CC71" t="e">
        <f>AND(#REF!,"AAAAAE/vX1A=")</f>
        <v>#REF!</v>
      </c>
      <c r="CD71" t="e">
        <f>AND(#REF!,"AAAAAE/vX1E=")</f>
        <v>#REF!</v>
      </c>
      <c r="CE71" t="e">
        <f>AND(#REF!,"AAAAAE/vX1I=")</f>
        <v>#REF!</v>
      </c>
      <c r="CF71" t="e">
        <f>AND(#REF!,"AAAAAE/vX1M=")</f>
        <v>#REF!</v>
      </c>
      <c r="CG71" t="e">
        <f>AND(#REF!,"AAAAAE/vX1Q=")</f>
        <v>#REF!</v>
      </c>
      <c r="CH71" t="e">
        <f>AND(#REF!,"AAAAAE/vX1U=")</f>
        <v>#REF!</v>
      </c>
      <c r="CI71" t="e">
        <f>AND(#REF!,"AAAAAE/vX1Y=")</f>
        <v>#REF!</v>
      </c>
      <c r="CJ71" t="e">
        <f>AND(#REF!,"AAAAAE/vX1c=")</f>
        <v>#REF!</v>
      </c>
      <c r="CK71" t="e">
        <f>AND(#REF!,"AAAAAE/vX1g=")</f>
        <v>#REF!</v>
      </c>
      <c r="CL71" t="e">
        <f>AND(#REF!,"AAAAAE/vX1k=")</f>
        <v>#REF!</v>
      </c>
      <c r="CM71" t="e">
        <f>IF(#REF!,"AAAAAE/vX1o=",0)</f>
        <v>#REF!</v>
      </c>
      <c r="CN71" t="e">
        <f>AND(#REF!,"AAAAAE/vX1s=")</f>
        <v>#REF!</v>
      </c>
      <c r="CO71" t="e">
        <f>AND(#REF!,"AAAAAE/vX1w=")</f>
        <v>#REF!</v>
      </c>
      <c r="CP71" t="e">
        <f>AND(#REF!,"AAAAAE/vX10=")</f>
        <v>#REF!</v>
      </c>
      <c r="CQ71" t="e">
        <f>AND(#REF!,"AAAAAE/vX14=")</f>
        <v>#REF!</v>
      </c>
      <c r="CR71" t="e">
        <f>AND(#REF!,"AAAAAE/vX18=")</f>
        <v>#REF!</v>
      </c>
      <c r="CS71" t="e">
        <f>AND(#REF!,"AAAAAE/vX2A=")</f>
        <v>#REF!</v>
      </c>
      <c r="CT71" t="e">
        <f>AND(#REF!,"AAAAAE/vX2E=")</f>
        <v>#REF!</v>
      </c>
      <c r="CU71" t="e">
        <f>AND(#REF!,"AAAAAE/vX2I=")</f>
        <v>#REF!</v>
      </c>
      <c r="CV71" t="e">
        <f>AND(#REF!,"AAAAAE/vX2M=")</f>
        <v>#REF!</v>
      </c>
      <c r="CW71" t="e">
        <f>AND(#REF!,"AAAAAE/vX2Q=")</f>
        <v>#REF!</v>
      </c>
      <c r="CX71" t="e">
        <f>AND(#REF!,"AAAAAE/vX2U=")</f>
        <v>#REF!</v>
      </c>
      <c r="CY71" t="e">
        <f>AND(#REF!,"AAAAAE/vX2Y=")</f>
        <v>#REF!</v>
      </c>
      <c r="CZ71" t="e">
        <f>AND(#REF!,"AAAAAE/vX2c=")</f>
        <v>#REF!</v>
      </c>
      <c r="DA71" t="e">
        <f>AND(#REF!,"AAAAAE/vX2g=")</f>
        <v>#REF!</v>
      </c>
      <c r="DB71" t="e">
        <f>AND(#REF!,"AAAAAE/vX2k=")</f>
        <v>#REF!</v>
      </c>
      <c r="DC71" t="e">
        <f>IF(#REF!,"AAAAAE/vX2o=",0)</f>
        <v>#REF!</v>
      </c>
      <c r="DD71" t="e">
        <f>IF(#REF!,"AAAAAE/vX2s=",0)</f>
        <v>#REF!</v>
      </c>
      <c r="DE71" t="e">
        <f>IF(#REF!,"AAAAAE/vX2w=",0)</f>
        <v>#REF!</v>
      </c>
      <c r="DF71" t="e">
        <f>IF(#REF!,"AAAAAE/vX20=",0)</f>
        <v>#REF!</v>
      </c>
      <c r="DG71" t="e">
        <f>IF(#REF!,"AAAAAE/vX24=",0)</f>
        <v>#REF!</v>
      </c>
      <c r="DH71" t="e">
        <f>IF(#REF!,"AAAAAE/vX28=",0)</f>
        <v>#REF!</v>
      </c>
      <c r="DI71" t="e">
        <f>IF(#REF!,"AAAAAE/vX3A=",0)</f>
        <v>#REF!</v>
      </c>
      <c r="DJ71" t="e">
        <f>IF(#REF!,"AAAAAE/vX3E=",0)</f>
        <v>#REF!</v>
      </c>
      <c r="DK71" t="e">
        <f>IF(#REF!,"AAAAAE/vX3I=",0)</f>
        <v>#REF!</v>
      </c>
      <c r="DL71" t="e">
        <f>IF(#REF!,"AAAAAE/vX3M=",0)</f>
        <v>#REF!</v>
      </c>
      <c r="DM71" t="e">
        <f>IF(#REF!,"AAAAAE/vX3Q=",0)</f>
        <v>#REF!</v>
      </c>
      <c r="DN71" t="e">
        <f>IF(#REF!,"AAAAAE/vX3U=",0)</f>
        <v>#REF!</v>
      </c>
      <c r="DO71" t="e">
        <f>IF(#REF!,"AAAAAE/vX3Y=",0)</f>
        <v>#REF!</v>
      </c>
      <c r="DP71" t="e">
        <f>IF(#REF!,"AAAAAE/vX3c=",0)</f>
        <v>#REF!</v>
      </c>
      <c r="DQ71" t="e">
        <f>IF(#REF!,"AAAAAE/vX3g=",0)</f>
        <v>#REF!</v>
      </c>
      <c r="DR71" t="e">
        <f>IF(#REF!,"AAAAAE/vX3k=",0)</f>
        <v>#REF!</v>
      </c>
      <c r="DS71" t="e">
        <f>IF(#REF!,"AAAAAE/vX3o=",0)</f>
        <v>#REF!</v>
      </c>
      <c r="DT71" t="e">
        <f>AND(#REF!,"AAAAAE/vX3s=")</f>
        <v>#REF!</v>
      </c>
      <c r="DU71" t="e">
        <f>AND(#REF!,"AAAAAE/vX3w=")</f>
        <v>#REF!</v>
      </c>
      <c r="DV71" t="e">
        <f>AND(#REF!,"AAAAAE/vX30=")</f>
        <v>#REF!</v>
      </c>
      <c r="DW71" t="e">
        <f>AND(#REF!,"AAAAAE/vX34=")</f>
        <v>#REF!</v>
      </c>
      <c r="DX71" t="e">
        <f>AND(#REF!,"AAAAAE/vX38=")</f>
        <v>#REF!</v>
      </c>
      <c r="DY71" t="e">
        <f>AND(#REF!,"AAAAAE/vX4A=")</f>
        <v>#REF!</v>
      </c>
      <c r="DZ71" t="e">
        <f>AND(#REF!,"AAAAAE/vX4E=")</f>
        <v>#REF!</v>
      </c>
      <c r="EA71" t="e">
        <f>AND(#REF!,"AAAAAE/vX4I=")</f>
        <v>#REF!</v>
      </c>
      <c r="EB71" t="e">
        <f>AND(#REF!,"AAAAAE/vX4M=")</f>
        <v>#REF!</v>
      </c>
      <c r="EC71" t="e">
        <f>AND(#REF!,"AAAAAE/vX4Q=")</f>
        <v>#REF!</v>
      </c>
      <c r="ED71" t="e">
        <f>AND(#REF!,"AAAAAE/vX4U=")</f>
        <v>#REF!</v>
      </c>
      <c r="EE71" t="e">
        <f>AND(#REF!,"AAAAAE/vX4Y=")</f>
        <v>#REF!</v>
      </c>
      <c r="EF71" t="e">
        <f>AND(#REF!,"AAAAAE/vX4c=")</f>
        <v>#REF!</v>
      </c>
      <c r="EG71" t="e">
        <f>AND(#REF!,"AAAAAE/vX4g=")</f>
        <v>#REF!</v>
      </c>
      <c r="EH71" t="e">
        <f>AND(#REF!,"AAAAAE/vX4k=")</f>
        <v>#REF!</v>
      </c>
      <c r="EI71" t="e">
        <f>AND(#REF!,"AAAAAE/vX4o=")</f>
        <v>#REF!</v>
      </c>
      <c r="EJ71" t="e">
        <f>AND(#REF!,"AAAAAE/vX4s=")</f>
        <v>#REF!</v>
      </c>
      <c r="EK71" t="e">
        <f>AND(#REF!,"AAAAAE/vX4w=")</f>
        <v>#REF!</v>
      </c>
      <c r="EL71" t="e">
        <f>AND(#REF!,"AAAAAE/vX40=")</f>
        <v>#REF!</v>
      </c>
      <c r="EM71" t="e">
        <f>AND(#REF!,"AAAAAE/vX44=")</f>
        <v>#REF!</v>
      </c>
      <c r="EN71" t="e">
        <f>AND(#REF!,"AAAAAE/vX48=")</f>
        <v>#REF!</v>
      </c>
      <c r="EO71" t="e">
        <f>AND(#REF!,"AAAAAE/vX5A=")</f>
        <v>#REF!</v>
      </c>
      <c r="EP71" t="e">
        <f>AND(#REF!,"AAAAAE/vX5E=")</f>
        <v>#REF!</v>
      </c>
      <c r="EQ71" t="e">
        <f>AND(#REF!,"AAAAAE/vX5I=")</f>
        <v>#REF!</v>
      </c>
      <c r="ER71" t="e">
        <f>AND(#REF!,"AAAAAE/vX5M=")</f>
        <v>#REF!</v>
      </c>
      <c r="ES71" t="e">
        <f>AND(#REF!,"AAAAAE/vX5Q=")</f>
        <v>#REF!</v>
      </c>
      <c r="ET71" t="e">
        <f>AND(#REF!,"AAAAAE/vX5U=")</f>
        <v>#REF!</v>
      </c>
      <c r="EU71" t="e">
        <f>AND(#REF!,"AAAAAE/vX5Y=")</f>
        <v>#REF!</v>
      </c>
      <c r="EV71" t="e">
        <f>AND(#REF!,"AAAAAE/vX5c=")</f>
        <v>#REF!</v>
      </c>
      <c r="EW71" t="e">
        <f>IF(#REF!,"AAAAAE/vX5g=",0)</f>
        <v>#REF!</v>
      </c>
      <c r="EX71" t="e">
        <f>AND(#REF!,"AAAAAE/vX5k=")</f>
        <v>#REF!</v>
      </c>
      <c r="EY71" t="e">
        <f>AND(#REF!,"AAAAAE/vX5o=")</f>
        <v>#REF!</v>
      </c>
      <c r="EZ71" t="e">
        <f>AND(#REF!,"AAAAAE/vX5s=")</f>
        <v>#REF!</v>
      </c>
      <c r="FA71" t="e">
        <f>AND(#REF!,"AAAAAE/vX5w=")</f>
        <v>#REF!</v>
      </c>
      <c r="FB71" t="e">
        <f>AND(#REF!,"AAAAAE/vX50=")</f>
        <v>#REF!</v>
      </c>
      <c r="FC71" t="e">
        <f>AND(#REF!,"AAAAAE/vX54=")</f>
        <v>#REF!</v>
      </c>
      <c r="FD71" t="e">
        <f>AND(#REF!,"AAAAAE/vX58=")</f>
        <v>#REF!</v>
      </c>
      <c r="FE71" t="e">
        <f>AND(#REF!,"AAAAAE/vX6A=")</f>
        <v>#REF!</v>
      </c>
      <c r="FF71" t="e">
        <f>AND(#REF!,"AAAAAE/vX6E=")</f>
        <v>#REF!</v>
      </c>
      <c r="FG71" t="e">
        <f>AND(#REF!,"AAAAAE/vX6I=")</f>
        <v>#REF!</v>
      </c>
      <c r="FH71" t="e">
        <f>AND(#REF!,"AAAAAE/vX6M=")</f>
        <v>#REF!</v>
      </c>
      <c r="FI71" t="e">
        <f>AND(#REF!,"AAAAAE/vX6Q=")</f>
        <v>#REF!</v>
      </c>
      <c r="FJ71" t="e">
        <f>AND(#REF!,"AAAAAE/vX6U=")</f>
        <v>#REF!</v>
      </c>
      <c r="FK71" t="e">
        <f>AND(#REF!,"AAAAAE/vX6Y=")</f>
        <v>#REF!</v>
      </c>
      <c r="FL71" t="e">
        <f>AND(#REF!,"AAAAAE/vX6c=")</f>
        <v>#REF!</v>
      </c>
      <c r="FM71" t="e">
        <f>AND(#REF!,"AAAAAE/vX6g=")</f>
        <v>#REF!</v>
      </c>
      <c r="FN71" t="e">
        <f>AND(#REF!,"AAAAAE/vX6k=")</f>
        <v>#REF!</v>
      </c>
      <c r="FO71" t="e">
        <f>AND(#REF!,"AAAAAE/vX6o=")</f>
        <v>#REF!</v>
      </c>
      <c r="FP71" t="e">
        <f>AND(#REF!,"AAAAAE/vX6s=")</f>
        <v>#REF!</v>
      </c>
      <c r="FQ71" t="e">
        <f>AND(#REF!,"AAAAAE/vX6w=")</f>
        <v>#REF!</v>
      </c>
      <c r="FR71" t="e">
        <f>AND(#REF!,"AAAAAE/vX60=")</f>
        <v>#REF!</v>
      </c>
      <c r="FS71" t="e">
        <f>AND(#REF!,"AAAAAE/vX64=")</f>
        <v>#REF!</v>
      </c>
      <c r="FT71" t="e">
        <f>AND(#REF!,"AAAAAE/vX68=")</f>
        <v>#REF!</v>
      </c>
      <c r="FU71" t="e">
        <f>AND(#REF!,"AAAAAE/vX7A=")</f>
        <v>#REF!</v>
      </c>
      <c r="FV71" t="e">
        <f>AND(#REF!,"AAAAAE/vX7E=")</f>
        <v>#REF!</v>
      </c>
      <c r="FW71" t="e">
        <f>AND(#REF!,"AAAAAE/vX7I=")</f>
        <v>#REF!</v>
      </c>
      <c r="FX71" t="e">
        <f>AND(#REF!,"AAAAAE/vX7M=")</f>
        <v>#REF!</v>
      </c>
      <c r="FY71" t="e">
        <f>AND(#REF!,"AAAAAE/vX7Q=")</f>
        <v>#REF!</v>
      </c>
      <c r="FZ71" t="e">
        <f>AND(#REF!,"AAAAAE/vX7U=")</f>
        <v>#REF!</v>
      </c>
      <c r="GA71" t="e">
        <f>IF(#REF!,"AAAAAE/vX7Y=",0)</f>
        <v>#REF!</v>
      </c>
      <c r="GB71" t="e">
        <f>AND(#REF!,"AAAAAE/vX7c=")</f>
        <v>#REF!</v>
      </c>
      <c r="GC71" t="e">
        <f>AND(#REF!,"AAAAAE/vX7g=")</f>
        <v>#REF!</v>
      </c>
      <c r="GD71" t="e">
        <f>AND(#REF!,"AAAAAE/vX7k=")</f>
        <v>#REF!</v>
      </c>
      <c r="GE71" t="e">
        <f>AND(#REF!,"AAAAAE/vX7o=")</f>
        <v>#REF!</v>
      </c>
      <c r="GF71" t="e">
        <f>AND(#REF!,"AAAAAE/vX7s=")</f>
        <v>#REF!</v>
      </c>
      <c r="GG71" t="e">
        <f>AND(#REF!,"AAAAAE/vX7w=")</f>
        <v>#REF!</v>
      </c>
      <c r="GH71" t="e">
        <f>AND(#REF!,"AAAAAE/vX70=")</f>
        <v>#REF!</v>
      </c>
      <c r="GI71" t="e">
        <f>AND(#REF!,"AAAAAE/vX74=")</f>
        <v>#REF!</v>
      </c>
      <c r="GJ71" t="e">
        <f>AND(#REF!,"AAAAAE/vX78=")</f>
        <v>#REF!</v>
      </c>
      <c r="GK71" t="e">
        <f>AND(#REF!,"AAAAAE/vX8A=")</f>
        <v>#REF!</v>
      </c>
      <c r="GL71" t="e">
        <f>AND(#REF!,"AAAAAE/vX8E=")</f>
        <v>#REF!</v>
      </c>
      <c r="GM71" t="e">
        <f>AND(#REF!,"AAAAAE/vX8I=")</f>
        <v>#REF!</v>
      </c>
      <c r="GN71" t="e">
        <f>AND(#REF!,"AAAAAE/vX8M=")</f>
        <v>#REF!</v>
      </c>
      <c r="GO71" t="e">
        <f>AND(#REF!,"AAAAAE/vX8Q=")</f>
        <v>#REF!</v>
      </c>
      <c r="GP71" t="e">
        <f>AND(#REF!,"AAAAAE/vX8U=")</f>
        <v>#REF!</v>
      </c>
      <c r="GQ71" t="e">
        <f>AND(#REF!,"AAAAAE/vX8Y=")</f>
        <v>#REF!</v>
      </c>
      <c r="GR71" t="e">
        <f>AND(#REF!,"AAAAAE/vX8c=")</f>
        <v>#REF!</v>
      </c>
      <c r="GS71" t="e">
        <f>AND(#REF!,"AAAAAE/vX8g=")</f>
        <v>#REF!</v>
      </c>
      <c r="GT71" t="e">
        <f>AND(#REF!,"AAAAAE/vX8k=")</f>
        <v>#REF!</v>
      </c>
      <c r="GU71" t="e">
        <f>AND(#REF!,"AAAAAE/vX8o=")</f>
        <v>#REF!</v>
      </c>
      <c r="GV71" t="e">
        <f>AND(#REF!,"AAAAAE/vX8s=")</f>
        <v>#REF!</v>
      </c>
      <c r="GW71" t="e">
        <f>AND(#REF!,"AAAAAE/vX8w=")</f>
        <v>#REF!</v>
      </c>
      <c r="GX71" t="e">
        <f>AND(#REF!,"AAAAAE/vX80=")</f>
        <v>#REF!</v>
      </c>
      <c r="GY71" t="e">
        <f>AND(#REF!,"AAAAAE/vX84=")</f>
        <v>#REF!</v>
      </c>
      <c r="GZ71" t="e">
        <f>AND(#REF!,"AAAAAE/vX88=")</f>
        <v>#REF!</v>
      </c>
      <c r="HA71" t="e">
        <f>AND(#REF!,"AAAAAE/vX9A=")</f>
        <v>#REF!</v>
      </c>
      <c r="HB71" t="e">
        <f>AND(#REF!,"AAAAAE/vX9E=")</f>
        <v>#REF!</v>
      </c>
      <c r="HC71" t="e">
        <f>AND(#REF!,"AAAAAE/vX9I=")</f>
        <v>#REF!</v>
      </c>
      <c r="HD71" t="e">
        <f>AND(#REF!,"AAAAAE/vX9M=")</f>
        <v>#REF!</v>
      </c>
      <c r="HE71" t="e">
        <f>IF(#REF!,"AAAAAE/vX9Q=",0)</f>
        <v>#REF!</v>
      </c>
      <c r="HF71" t="e">
        <f>AND(#REF!,"AAAAAE/vX9U=")</f>
        <v>#REF!</v>
      </c>
      <c r="HG71" t="e">
        <f>AND(#REF!,"AAAAAE/vX9Y=")</f>
        <v>#REF!</v>
      </c>
      <c r="HH71" t="e">
        <f>AND(#REF!,"AAAAAE/vX9c=")</f>
        <v>#REF!</v>
      </c>
      <c r="HI71" t="e">
        <f>AND(#REF!,"AAAAAE/vX9g=")</f>
        <v>#REF!</v>
      </c>
      <c r="HJ71" t="e">
        <f>AND(#REF!,"AAAAAE/vX9k=")</f>
        <v>#REF!</v>
      </c>
      <c r="HK71" t="e">
        <f>AND(#REF!,"AAAAAE/vX9o=")</f>
        <v>#REF!</v>
      </c>
      <c r="HL71" t="e">
        <f>AND(#REF!,"AAAAAE/vX9s=")</f>
        <v>#REF!</v>
      </c>
      <c r="HM71" t="e">
        <f>AND(#REF!,"AAAAAE/vX9w=")</f>
        <v>#REF!</v>
      </c>
      <c r="HN71" t="e">
        <f>AND(#REF!,"AAAAAE/vX90=")</f>
        <v>#REF!</v>
      </c>
      <c r="HO71" t="e">
        <f>AND(#REF!,"AAAAAE/vX94=")</f>
        <v>#REF!</v>
      </c>
      <c r="HP71" t="e">
        <f>AND(#REF!,"AAAAAE/vX98=")</f>
        <v>#REF!</v>
      </c>
      <c r="HQ71" t="e">
        <f>AND(#REF!,"AAAAAE/vX+A=")</f>
        <v>#REF!</v>
      </c>
      <c r="HR71" t="e">
        <f>AND(#REF!,"AAAAAE/vX+E=")</f>
        <v>#REF!</v>
      </c>
      <c r="HS71" t="e">
        <f>AND(#REF!,"AAAAAE/vX+I=")</f>
        <v>#REF!</v>
      </c>
      <c r="HT71" t="e">
        <f>AND(#REF!,"AAAAAE/vX+M=")</f>
        <v>#REF!</v>
      </c>
      <c r="HU71" t="e">
        <f>AND(#REF!,"AAAAAE/vX+Q=")</f>
        <v>#REF!</v>
      </c>
      <c r="HV71" t="e">
        <f>AND(#REF!,"AAAAAE/vX+U=")</f>
        <v>#REF!</v>
      </c>
      <c r="HW71" t="e">
        <f>AND(#REF!,"AAAAAE/vX+Y=")</f>
        <v>#REF!</v>
      </c>
      <c r="HX71" t="e">
        <f>AND(#REF!,"AAAAAE/vX+c=")</f>
        <v>#REF!</v>
      </c>
      <c r="HY71" t="e">
        <f>AND(#REF!,"AAAAAE/vX+g=")</f>
        <v>#REF!</v>
      </c>
      <c r="HZ71" t="e">
        <f>AND(#REF!,"AAAAAE/vX+k=")</f>
        <v>#REF!</v>
      </c>
      <c r="IA71" t="e">
        <f>AND(#REF!,"AAAAAE/vX+o=")</f>
        <v>#REF!</v>
      </c>
      <c r="IB71" t="e">
        <f>AND(#REF!,"AAAAAE/vX+s=")</f>
        <v>#REF!</v>
      </c>
      <c r="IC71" t="e">
        <f>AND(#REF!,"AAAAAE/vX+w=")</f>
        <v>#REF!</v>
      </c>
      <c r="ID71" t="e">
        <f>AND(#REF!,"AAAAAE/vX+0=")</f>
        <v>#REF!</v>
      </c>
      <c r="IE71" t="e">
        <f>AND(#REF!,"AAAAAE/vX+4=")</f>
        <v>#REF!</v>
      </c>
      <c r="IF71" t="e">
        <f>AND(#REF!,"AAAAAE/vX+8=")</f>
        <v>#REF!</v>
      </c>
      <c r="IG71" t="e">
        <f>AND(#REF!,"AAAAAE/vX/A=")</f>
        <v>#REF!</v>
      </c>
      <c r="IH71" t="e">
        <f>AND(#REF!,"AAAAAE/vX/E=")</f>
        <v>#REF!</v>
      </c>
      <c r="II71" t="e">
        <f>IF(#REF!,"AAAAAE/vX/I=",0)</f>
        <v>#REF!</v>
      </c>
      <c r="IJ71" t="e">
        <f>AND(#REF!,"AAAAAE/vX/M=")</f>
        <v>#REF!</v>
      </c>
      <c r="IK71" t="e">
        <f>AND(#REF!,"AAAAAE/vX/Q=")</f>
        <v>#REF!</v>
      </c>
      <c r="IL71" t="e">
        <f>AND(#REF!,"AAAAAE/vX/U=")</f>
        <v>#REF!</v>
      </c>
      <c r="IM71" t="e">
        <f>AND(#REF!,"AAAAAE/vX/Y=")</f>
        <v>#REF!</v>
      </c>
      <c r="IN71" t="e">
        <f>AND(#REF!,"AAAAAE/vX/c=")</f>
        <v>#REF!</v>
      </c>
      <c r="IO71" t="e">
        <f>AND(#REF!,"AAAAAE/vX/g=")</f>
        <v>#REF!</v>
      </c>
      <c r="IP71" t="e">
        <f>AND(#REF!,"AAAAAE/vX/k=")</f>
        <v>#REF!</v>
      </c>
      <c r="IQ71" t="e">
        <f>AND(#REF!,"AAAAAE/vX/o=")</f>
        <v>#REF!</v>
      </c>
      <c r="IR71" t="e">
        <f>AND(#REF!,"AAAAAE/vX/s=")</f>
        <v>#REF!</v>
      </c>
      <c r="IS71" t="e">
        <f>AND(#REF!,"AAAAAE/vX/w=")</f>
        <v>#REF!</v>
      </c>
      <c r="IT71" t="e">
        <f>AND(#REF!,"AAAAAE/vX/0=")</f>
        <v>#REF!</v>
      </c>
      <c r="IU71" t="e">
        <f>AND(#REF!,"AAAAAE/vX/4=")</f>
        <v>#REF!</v>
      </c>
      <c r="IV71" t="e">
        <f>AND(#REF!,"AAAAAE/vX/8=")</f>
        <v>#REF!</v>
      </c>
    </row>
    <row r="72" spans="1:256">
      <c r="A72" t="e">
        <f>AND(#REF!,"AAAAAH9r/wA=")</f>
        <v>#REF!</v>
      </c>
      <c r="B72" t="e">
        <f>AND(#REF!,"AAAAAH9r/wE=")</f>
        <v>#REF!</v>
      </c>
      <c r="C72" t="e">
        <f>AND(#REF!,"AAAAAH9r/wI=")</f>
        <v>#REF!</v>
      </c>
      <c r="D72" t="e">
        <f>AND(#REF!,"AAAAAH9r/wM=")</f>
        <v>#REF!</v>
      </c>
      <c r="E72" t="e">
        <f>AND(#REF!,"AAAAAH9r/wQ=")</f>
        <v>#REF!</v>
      </c>
      <c r="F72" t="e">
        <f>AND(#REF!,"AAAAAH9r/wU=")</f>
        <v>#REF!</v>
      </c>
      <c r="G72" t="e">
        <f>AND(#REF!,"AAAAAH9r/wY=")</f>
        <v>#REF!</v>
      </c>
      <c r="H72" t="e">
        <f>AND(#REF!,"AAAAAH9r/wc=")</f>
        <v>#REF!</v>
      </c>
      <c r="I72" t="e">
        <f>AND(#REF!,"AAAAAH9r/wg=")</f>
        <v>#REF!</v>
      </c>
      <c r="J72" t="e">
        <f>AND(#REF!,"AAAAAH9r/wk=")</f>
        <v>#REF!</v>
      </c>
      <c r="K72" t="e">
        <f>AND(#REF!,"AAAAAH9r/wo=")</f>
        <v>#REF!</v>
      </c>
      <c r="L72" t="e">
        <f>AND(#REF!,"AAAAAH9r/ws=")</f>
        <v>#REF!</v>
      </c>
      <c r="M72" t="e">
        <f>AND(#REF!,"AAAAAH9r/ww=")</f>
        <v>#REF!</v>
      </c>
      <c r="N72" t="e">
        <f>AND(#REF!,"AAAAAH9r/w0=")</f>
        <v>#REF!</v>
      </c>
      <c r="O72" t="e">
        <f>AND(#REF!,"AAAAAH9r/w4=")</f>
        <v>#REF!</v>
      </c>
      <c r="P72" t="e">
        <f>AND(#REF!,"AAAAAH9r/w8=")</f>
        <v>#REF!</v>
      </c>
      <c r="Q72" t="e">
        <f>IF(#REF!,"AAAAAH9r/xA=",0)</f>
        <v>#REF!</v>
      </c>
      <c r="R72" t="e">
        <f>AND(#REF!,"AAAAAH9r/xE=")</f>
        <v>#REF!</v>
      </c>
      <c r="S72" t="e">
        <f>AND(#REF!,"AAAAAH9r/xI=")</f>
        <v>#REF!</v>
      </c>
      <c r="T72" t="e">
        <f>AND(#REF!,"AAAAAH9r/xM=")</f>
        <v>#REF!</v>
      </c>
      <c r="U72" t="e">
        <f>AND(#REF!,"AAAAAH9r/xQ=")</f>
        <v>#REF!</v>
      </c>
      <c r="V72" t="e">
        <f>AND(#REF!,"AAAAAH9r/xU=")</f>
        <v>#REF!</v>
      </c>
      <c r="W72" t="e">
        <f>AND(#REF!,"AAAAAH9r/xY=")</f>
        <v>#REF!</v>
      </c>
      <c r="X72" t="e">
        <f>AND(#REF!,"AAAAAH9r/xc=")</f>
        <v>#REF!</v>
      </c>
      <c r="Y72" t="e">
        <f>AND(#REF!,"AAAAAH9r/xg=")</f>
        <v>#REF!</v>
      </c>
      <c r="Z72" t="e">
        <f>AND(#REF!,"AAAAAH9r/xk=")</f>
        <v>#REF!</v>
      </c>
      <c r="AA72" t="e">
        <f>AND(#REF!,"AAAAAH9r/xo=")</f>
        <v>#REF!</v>
      </c>
      <c r="AB72" t="e">
        <f>AND(#REF!,"AAAAAH9r/xs=")</f>
        <v>#REF!</v>
      </c>
      <c r="AC72" t="e">
        <f>AND(#REF!,"AAAAAH9r/xw=")</f>
        <v>#REF!</v>
      </c>
      <c r="AD72" t="e">
        <f>AND(#REF!,"AAAAAH9r/x0=")</f>
        <v>#REF!</v>
      </c>
      <c r="AE72" t="e">
        <f>AND(#REF!,"AAAAAH9r/x4=")</f>
        <v>#REF!</v>
      </c>
      <c r="AF72" t="e">
        <f>AND(#REF!,"AAAAAH9r/x8=")</f>
        <v>#REF!</v>
      </c>
      <c r="AG72" t="e">
        <f>AND(#REF!,"AAAAAH9r/yA=")</f>
        <v>#REF!</v>
      </c>
      <c r="AH72" t="e">
        <f>AND(#REF!,"AAAAAH9r/yE=")</f>
        <v>#REF!</v>
      </c>
      <c r="AI72" t="e">
        <f>AND(#REF!,"AAAAAH9r/yI=")</f>
        <v>#REF!</v>
      </c>
      <c r="AJ72" t="e">
        <f>AND(#REF!,"AAAAAH9r/yM=")</f>
        <v>#REF!</v>
      </c>
      <c r="AK72" t="e">
        <f>AND(#REF!,"AAAAAH9r/yQ=")</f>
        <v>#REF!</v>
      </c>
      <c r="AL72" t="e">
        <f>AND(#REF!,"AAAAAH9r/yU=")</f>
        <v>#REF!</v>
      </c>
      <c r="AM72" t="e">
        <f>AND(#REF!,"AAAAAH9r/yY=")</f>
        <v>#REF!</v>
      </c>
      <c r="AN72" t="e">
        <f>AND(#REF!,"AAAAAH9r/yc=")</f>
        <v>#REF!</v>
      </c>
      <c r="AO72" t="e">
        <f>AND(#REF!,"AAAAAH9r/yg=")</f>
        <v>#REF!</v>
      </c>
      <c r="AP72" t="e">
        <f>AND(#REF!,"AAAAAH9r/yk=")</f>
        <v>#REF!</v>
      </c>
      <c r="AQ72" t="e">
        <f>AND(#REF!,"AAAAAH9r/yo=")</f>
        <v>#REF!</v>
      </c>
      <c r="AR72" t="e">
        <f>AND(#REF!,"AAAAAH9r/ys=")</f>
        <v>#REF!</v>
      </c>
      <c r="AS72" t="e">
        <f>AND(#REF!,"AAAAAH9r/yw=")</f>
        <v>#REF!</v>
      </c>
      <c r="AT72" t="e">
        <f>AND(#REF!,"AAAAAH9r/y0=")</f>
        <v>#REF!</v>
      </c>
      <c r="AU72" t="e">
        <f>IF(#REF!,"AAAAAH9r/y4=",0)</f>
        <v>#REF!</v>
      </c>
      <c r="AV72" t="e">
        <f>AND(#REF!,"AAAAAH9r/y8=")</f>
        <v>#REF!</v>
      </c>
      <c r="AW72" t="e">
        <f>AND(#REF!,"AAAAAH9r/zA=")</f>
        <v>#REF!</v>
      </c>
      <c r="AX72" t="e">
        <f>AND(#REF!,"AAAAAH9r/zE=")</f>
        <v>#REF!</v>
      </c>
      <c r="AY72" t="e">
        <f>AND(#REF!,"AAAAAH9r/zI=")</f>
        <v>#REF!</v>
      </c>
      <c r="AZ72" t="e">
        <f>AND(#REF!,"AAAAAH9r/zM=")</f>
        <v>#REF!</v>
      </c>
      <c r="BA72" t="e">
        <f>AND(#REF!,"AAAAAH9r/zQ=")</f>
        <v>#REF!</v>
      </c>
      <c r="BB72" t="e">
        <f>AND(#REF!,"AAAAAH9r/zU=")</f>
        <v>#REF!</v>
      </c>
      <c r="BC72" t="e">
        <f>AND(#REF!,"AAAAAH9r/zY=")</f>
        <v>#REF!</v>
      </c>
      <c r="BD72" t="e">
        <f>AND(#REF!,"AAAAAH9r/zc=")</f>
        <v>#REF!</v>
      </c>
      <c r="BE72" t="e">
        <f>AND(#REF!,"AAAAAH9r/zg=")</f>
        <v>#REF!</v>
      </c>
      <c r="BF72" t="e">
        <f>AND(#REF!,"AAAAAH9r/zk=")</f>
        <v>#REF!</v>
      </c>
      <c r="BG72" t="e">
        <f>AND(#REF!,"AAAAAH9r/zo=")</f>
        <v>#REF!</v>
      </c>
      <c r="BH72" t="e">
        <f>AND(#REF!,"AAAAAH9r/zs=")</f>
        <v>#REF!</v>
      </c>
      <c r="BI72" t="e">
        <f>AND(#REF!,"AAAAAH9r/zw=")</f>
        <v>#REF!</v>
      </c>
      <c r="BJ72" t="e">
        <f>AND(#REF!,"AAAAAH9r/z0=")</f>
        <v>#REF!</v>
      </c>
      <c r="BK72" t="e">
        <f>AND(#REF!,"AAAAAH9r/z4=")</f>
        <v>#REF!</v>
      </c>
      <c r="BL72" t="e">
        <f>AND(#REF!,"AAAAAH9r/z8=")</f>
        <v>#REF!</v>
      </c>
      <c r="BM72" t="e">
        <f>AND(#REF!,"AAAAAH9r/0A=")</f>
        <v>#REF!</v>
      </c>
      <c r="BN72" t="e">
        <f>AND(#REF!,"AAAAAH9r/0E=")</f>
        <v>#REF!</v>
      </c>
      <c r="BO72" t="e">
        <f>AND(#REF!,"AAAAAH9r/0I=")</f>
        <v>#REF!</v>
      </c>
      <c r="BP72" t="e">
        <f>AND(#REF!,"AAAAAH9r/0M=")</f>
        <v>#REF!</v>
      </c>
      <c r="BQ72" t="e">
        <f>AND(#REF!,"AAAAAH9r/0Q=")</f>
        <v>#REF!</v>
      </c>
      <c r="BR72" t="e">
        <f>AND(#REF!,"AAAAAH9r/0U=")</f>
        <v>#REF!</v>
      </c>
      <c r="BS72" t="e">
        <f>AND(#REF!,"AAAAAH9r/0Y=")</f>
        <v>#REF!</v>
      </c>
      <c r="BT72" t="e">
        <f>AND(#REF!,"AAAAAH9r/0c=")</f>
        <v>#REF!</v>
      </c>
      <c r="BU72" t="e">
        <f>AND(#REF!,"AAAAAH9r/0g=")</f>
        <v>#REF!</v>
      </c>
      <c r="BV72" t="e">
        <f>AND(#REF!,"AAAAAH9r/0k=")</f>
        <v>#REF!</v>
      </c>
      <c r="BW72" t="e">
        <f>AND(#REF!,"AAAAAH9r/0o=")</f>
        <v>#REF!</v>
      </c>
      <c r="BX72" t="e">
        <f>AND(#REF!,"AAAAAH9r/0s=")</f>
        <v>#REF!</v>
      </c>
      <c r="BY72" t="e">
        <f>IF(#REF!,"AAAAAH9r/0w=",0)</f>
        <v>#REF!</v>
      </c>
      <c r="BZ72" t="e">
        <f>AND(#REF!,"AAAAAH9r/00=")</f>
        <v>#REF!</v>
      </c>
      <c r="CA72" t="e">
        <f>AND(#REF!,"AAAAAH9r/04=")</f>
        <v>#REF!</v>
      </c>
      <c r="CB72" t="e">
        <f>AND(#REF!,"AAAAAH9r/08=")</f>
        <v>#REF!</v>
      </c>
      <c r="CC72" t="e">
        <f>AND(#REF!,"AAAAAH9r/1A=")</f>
        <v>#REF!</v>
      </c>
      <c r="CD72" t="e">
        <f>AND(#REF!,"AAAAAH9r/1E=")</f>
        <v>#REF!</v>
      </c>
      <c r="CE72" t="e">
        <f>AND(#REF!,"AAAAAH9r/1I=")</f>
        <v>#REF!</v>
      </c>
      <c r="CF72" t="e">
        <f>AND(#REF!,"AAAAAH9r/1M=")</f>
        <v>#REF!</v>
      </c>
      <c r="CG72" t="e">
        <f>AND(#REF!,"AAAAAH9r/1Q=")</f>
        <v>#REF!</v>
      </c>
      <c r="CH72" t="e">
        <f>AND(#REF!,"AAAAAH9r/1U=")</f>
        <v>#REF!</v>
      </c>
      <c r="CI72" t="e">
        <f>AND(#REF!,"AAAAAH9r/1Y=")</f>
        <v>#REF!</v>
      </c>
      <c r="CJ72" t="e">
        <f>AND(#REF!,"AAAAAH9r/1c=")</f>
        <v>#REF!</v>
      </c>
      <c r="CK72" t="e">
        <f>AND(#REF!,"AAAAAH9r/1g=")</f>
        <v>#REF!</v>
      </c>
      <c r="CL72" t="e">
        <f>AND(#REF!,"AAAAAH9r/1k=")</f>
        <v>#REF!</v>
      </c>
      <c r="CM72" t="e">
        <f>AND(#REF!,"AAAAAH9r/1o=")</f>
        <v>#REF!</v>
      </c>
      <c r="CN72" t="e">
        <f>AND(#REF!,"AAAAAH9r/1s=")</f>
        <v>#REF!</v>
      </c>
      <c r="CO72" t="e">
        <f>AND(#REF!,"AAAAAH9r/1w=")</f>
        <v>#REF!</v>
      </c>
      <c r="CP72" t="e">
        <f>AND(#REF!,"AAAAAH9r/10=")</f>
        <v>#REF!</v>
      </c>
      <c r="CQ72" t="e">
        <f>AND(#REF!,"AAAAAH9r/14=")</f>
        <v>#REF!</v>
      </c>
      <c r="CR72" t="e">
        <f>AND(#REF!,"AAAAAH9r/18=")</f>
        <v>#REF!</v>
      </c>
      <c r="CS72" t="e">
        <f>AND(#REF!,"AAAAAH9r/2A=")</f>
        <v>#REF!</v>
      </c>
      <c r="CT72" t="e">
        <f>AND(#REF!,"AAAAAH9r/2E=")</f>
        <v>#REF!</v>
      </c>
      <c r="CU72" t="e">
        <f>AND(#REF!,"AAAAAH9r/2I=")</f>
        <v>#REF!</v>
      </c>
      <c r="CV72" t="e">
        <f>AND(#REF!,"AAAAAH9r/2M=")</f>
        <v>#REF!</v>
      </c>
      <c r="CW72" t="e">
        <f>AND(#REF!,"AAAAAH9r/2Q=")</f>
        <v>#REF!</v>
      </c>
      <c r="CX72" t="e">
        <f>AND(#REF!,"AAAAAH9r/2U=")</f>
        <v>#REF!</v>
      </c>
      <c r="CY72" t="e">
        <f>AND(#REF!,"AAAAAH9r/2Y=")</f>
        <v>#REF!</v>
      </c>
      <c r="CZ72" t="e">
        <f>AND(#REF!,"AAAAAH9r/2c=")</f>
        <v>#REF!</v>
      </c>
      <c r="DA72" t="e">
        <f>AND(#REF!,"AAAAAH9r/2g=")</f>
        <v>#REF!</v>
      </c>
      <c r="DB72" t="e">
        <f>AND(#REF!,"AAAAAH9r/2k=")</f>
        <v>#REF!</v>
      </c>
      <c r="DC72" t="e">
        <f>IF(#REF!,"AAAAAH9r/2o=",0)</f>
        <v>#REF!</v>
      </c>
      <c r="DD72" t="e">
        <f>AND(#REF!,"AAAAAH9r/2s=")</f>
        <v>#REF!</v>
      </c>
      <c r="DE72" t="e">
        <f>AND(#REF!,"AAAAAH9r/2w=")</f>
        <v>#REF!</v>
      </c>
      <c r="DF72" t="e">
        <f>AND(#REF!,"AAAAAH9r/20=")</f>
        <v>#REF!</v>
      </c>
      <c r="DG72" t="e">
        <f>AND(#REF!,"AAAAAH9r/24=")</f>
        <v>#REF!</v>
      </c>
      <c r="DH72" t="e">
        <f>AND(#REF!,"AAAAAH9r/28=")</f>
        <v>#REF!</v>
      </c>
      <c r="DI72" t="e">
        <f>AND(#REF!,"AAAAAH9r/3A=")</f>
        <v>#REF!</v>
      </c>
      <c r="DJ72" t="e">
        <f>AND(#REF!,"AAAAAH9r/3E=")</f>
        <v>#REF!</v>
      </c>
      <c r="DK72" t="e">
        <f>AND(#REF!,"AAAAAH9r/3I=")</f>
        <v>#REF!</v>
      </c>
      <c r="DL72" t="e">
        <f>AND(#REF!,"AAAAAH9r/3M=")</f>
        <v>#REF!</v>
      </c>
      <c r="DM72" t="e">
        <f>AND(#REF!,"AAAAAH9r/3Q=")</f>
        <v>#REF!</v>
      </c>
      <c r="DN72" t="e">
        <f>AND(#REF!,"AAAAAH9r/3U=")</f>
        <v>#REF!</v>
      </c>
      <c r="DO72" t="e">
        <f>AND(#REF!,"AAAAAH9r/3Y=")</f>
        <v>#REF!</v>
      </c>
      <c r="DP72" t="e">
        <f>AND(#REF!,"AAAAAH9r/3c=")</f>
        <v>#REF!</v>
      </c>
      <c r="DQ72" t="e">
        <f>AND(#REF!,"AAAAAH9r/3g=")</f>
        <v>#REF!</v>
      </c>
      <c r="DR72" t="e">
        <f>AND(#REF!,"AAAAAH9r/3k=")</f>
        <v>#REF!</v>
      </c>
      <c r="DS72" t="e">
        <f>AND(#REF!,"AAAAAH9r/3o=")</f>
        <v>#REF!</v>
      </c>
      <c r="DT72" t="e">
        <f>AND(#REF!,"AAAAAH9r/3s=")</f>
        <v>#REF!</v>
      </c>
      <c r="DU72" t="e">
        <f>AND(#REF!,"AAAAAH9r/3w=")</f>
        <v>#REF!</v>
      </c>
      <c r="DV72" t="e">
        <f>AND(#REF!,"AAAAAH9r/30=")</f>
        <v>#REF!</v>
      </c>
      <c r="DW72" t="e">
        <f>AND(#REF!,"AAAAAH9r/34=")</f>
        <v>#REF!</v>
      </c>
      <c r="DX72" t="e">
        <f>AND(#REF!,"AAAAAH9r/38=")</f>
        <v>#REF!</v>
      </c>
      <c r="DY72" t="e">
        <f>AND(#REF!,"AAAAAH9r/4A=")</f>
        <v>#REF!</v>
      </c>
      <c r="DZ72" t="e">
        <f>AND(#REF!,"AAAAAH9r/4E=")</f>
        <v>#REF!</v>
      </c>
      <c r="EA72" t="e">
        <f>AND(#REF!,"AAAAAH9r/4I=")</f>
        <v>#REF!</v>
      </c>
      <c r="EB72" t="e">
        <f>AND(#REF!,"AAAAAH9r/4M=")</f>
        <v>#REF!</v>
      </c>
      <c r="EC72" t="e">
        <f>AND(#REF!,"AAAAAH9r/4Q=")</f>
        <v>#REF!</v>
      </c>
      <c r="ED72" t="e">
        <f>AND(#REF!,"AAAAAH9r/4U=")</f>
        <v>#REF!</v>
      </c>
      <c r="EE72" t="e">
        <f>AND(#REF!,"AAAAAH9r/4Y=")</f>
        <v>#REF!</v>
      </c>
      <c r="EF72" t="e">
        <f>AND(#REF!,"AAAAAH9r/4c=")</f>
        <v>#REF!</v>
      </c>
      <c r="EG72" t="e">
        <f>IF(#REF!,"AAAAAH9r/4g=",0)</f>
        <v>#REF!</v>
      </c>
      <c r="EH72" t="e">
        <f>AND(#REF!,"AAAAAH9r/4k=")</f>
        <v>#REF!</v>
      </c>
      <c r="EI72" t="e">
        <f>AND(#REF!,"AAAAAH9r/4o=")</f>
        <v>#REF!</v>
      </c>
      <c r="EJ72" t="e">
        <f>AND(#REF!,"AAAAAH9r/4s=")</f>
        <v>#REF!</v>
      </c>
      <c r="EK72" t="e">
        <f>AND(#REF!,"AAAAAH9r/4w=")</f>
        <v>#REF!</v>
      </c>
      <c r="EL72" t="e">
        <f>AND(#REF!,"AAAAAH9r/40=")</f>
        <v>#REF!</v>
      </c>
      <c r="EM72" t="e">
        <f>AND(#REF!,"AAAAAH9r/44=")</f>
        <v>#REF!</v>
      </c>
      <c r="EN72" t="e">
        <f>AND(#REF!,"AAAAAH9r/48=")</f>
        <v>#REF!</v>
      </c>
      <c r="EO72" t="e">
        <f>AND(#REF!,"AAAAAH9r/5A=")</f>
        <v>#REF!</v>
      </c>
      <c r="EP72" t="e">
        <f>AND(#REF!,"AAAAAH9r/5E=")</f>
        <v>#REF!</v>
      </c>
      <c r="EQ72" t="e">
        <f>AND(#REF!,"AAAAAH9r/5I=")</f>
        <v>#REF!</v>
      </c>
      <c r="ER72" t="e">
        <f>AND(#REF!,"AAAAAH9r/5M=")</f>
        <v>#REF!</v>
      </c>
      <c r="ES72" t="e">
        <f>AND(#REF!,"AAAAAH9r/5Q=")</f>
        <v>#REF!</v>
      </c>
      <c r="ET72" t="e">
        <f>AND(#REF!,"AAAAAH9r/5U=")</f>
        <v>#REF!</v>
      </c>
      <c r="EU72" t="e">
        <f>AND(#REF!,"AAAAAH9r/5Y=")</f>
        <v>#REF!</v>
      </c>
      <c r="EV72" t="e">
        <f>AND(#REF!,"AAAAAH9r/5c=")</f>
        <v>#REF!</v>
      </c>
      <c r="EW72" t="e">
        <f>AND(#REF!,"AAAAAH9r/5g=")</f>
        <v>#REF!</v>
      </c>
      <c r="EX72" t="e">
        <f>AND(#REF!,"AAAAAH9r/5k=")</f>
        <v>#REF!</v>
      </c>
      <c r="EY72" t="e">
        <f>AND(#REF!,"AAAAAH9r/5o=")</f>
        <v>#REF!</v>
      </c>
      <c r="EZ72" t="e">
        <f>AND(#REF!,"AAAAAH9r/5s=")</f>
        <v>#REF!</v>
      </c>
      <c r="FA72" t="e">
        <f>AND(#REF!,"AAAAAH9r/5w=")</f>
        <v>#REF!</v>
      </c>
      <c r="FB72" t="e">
        <f>AND(#REF!,"AAAAAH9r/50=")</f>
        <v>#REF!</v>
      </c>
      <c r="FC72" t="e">
        <f>AND(#REF!,"AAAAAH9r/54=")</f>
        <v>#REF!</v>
      </c>
      <c r="FD72" t="e">
        <f>AND(#REF!,"AAAAAH9r/58=")</f>
        <v>#REF!</v>
      </c>
      <c r="FE72" t="e">
        <f>AND(#REF!,"AAAAAH9r/6A=")</f>
        <v>#REF!</v>
      </c>
      <c r="FF72" t="e">
        <f>AND(#REF!,"AAAAAH9r/6E=")</f>
        <v>#REF!</v>
      </c>
      <c r="FG72" t="e">
        <f>AND(#REF!,"AAAAAH9r/6I=")</f>
        <v>#REF!</v>
      </c>
      <c r="FH72" t="e">
        <f>AND(#REF!,"AAAAAH9r/6M=")</f>
        <v>#REF!</v>
      </c>
      <c r="FI72" t="e">
        <f>AND(#REF!,"AAAAAH9r/6Q=")</f>
        <v>#REF!</v>
      </c>
      <c r="FJ72" t="e">
        <f>AND(#REF!,"AAAAAH9r/6U=")</f>
        <v>#REF!</v>
      </c>
      <c r="FK72" t="e">
        <f>IF(#REF!,"AAAAAH9r/6Y=",0)</f>
        <v>#REF!</v>
      </c>
      <c r="FL72" t="e">
        <f>AND(#REF!,"AAAAAH9r/6c=")</f>
        <v>#REF!</v>
      </c>
      <c r="FM72" t="e">
        <f>AND(#REF!,"AAAAAH9r/6g=")</f>
        <v>#REF!</v>
      </c>
      <c r="FN72" t="e">
        <f>AND(#REF!,"AAAAAH9r/6k=")</f>
        <v>#REF!</v>
      </c>
      <c r="FO72" t="e">
        <f>AND(#REF!,"AAAAAH9r/6o=")</f>
        <v>#REF!</v>
      </c>
      <c r="FP72" t="e">
        <f>AND(#REF!,"AAAAAH9r/6s=")</f>
        <v>#REF!</v>
      </c>
      <c r="FQ72" t="e">
        <f>AND(#REF!,"AAAAAH9r/6w=")</f>
        <v>#REF!</v>
      </c>
      <c r="FR72" t="e">
        <f>AND(#REF!,"AAAAAH9r/60=")</f>
        <v>#REF!</v>
      </c>
      <c r="FS72" t="e">
        <f>AND(#REF!,"AAAAAH9r/64=")</f>
        <v>#REF!</v>
      </c>
      <c r="FT72" t="e">
        <f>AND(#REF!,"AAAAAH9r/68=")</f>
        <v>#REF!</v>
      </c>
      <c r="FU72" t="e">
        <f>AND(#REF!,"AAAAAH9r/7A=")</f>
        <v>#REF!</v>
      </c>
      <c r="FV72" t="e">
        <f>AND(#REF!,"AAAAAH9r/7E=")</f>
        <v>#REF!</v>
      </c>
      <c r="FW72" t="e">
        <f>AND(#REF!,"AAAAAH9r/7I=")</f>
        <v>#REF!</v>
      </c>
      <c r="FX72" t="e">
        <f>AND(#REF!,"AAAAAH9r/7M=")</f>
        <v>#REF!</v>
      </c>
      <c r="FY72" t="e">
        <f>AND(#REF!,"AAAAAH9r/7Q=")</f>
        <v>#REF!</v>
      </c>
      <c r="FZ72" t="e">
        <f>AND(#REF!,"AAAAAH9r/7U=")</f>
        <v>#REF!</v>
      </c>
      <c r="GA72" t="e">
        <f>AND(#REF!,"AAAAAH9r/7Y=")</f>
        <v>#REF!</v>
      </c>
      <c r="GB72" t="e">
        <f>AND(#REF!,"AAAAAH9r/7c=")</f>
        <v>#REF!</v>
      </c>
      <c r="GC72" t="e">
        <f>AND(#REF!,"AAAAAH9r/7g=")</f>
        <v>#REF!</v>
      </c>
      <c r="GD72" t="e">
        <f>AND(#REF!,"AAAAAH9r/7k=")</f>
        <v>#REF!</v>
      </c>
      <c r="GE72" t="e">
        <f>AND(#REF!,"AAAAAH9r/7o=")</f>
        <v>#REF!</v>
      </c>
      <c r="GF72" t="e">
        <f>AND(#REF!,"AAAAAH9r/7s=")</f>
        <v>#REF!</v>
      </c>
      <c r="GG72" t="e">
        <f>AND(#REF!,"AAAAAH9r/7w=")</f>
        <v>#REF!</v>
      </c>
      <c r="GH72" t="e">
        <f>AND(#REF!,"AAAAAH9r/70=")</f>
        <v>#REF!</v>
      </c>
      <c r="GI72" t="e">
        <f>AND(#REF!,"AAAAAH9r/74=")</f>
        <v>#REF!</v>
      </c>
      <c r="GJ72" t="e">
        <f>AND(#REF!,"AAAAAH9r/78=")</f>
        <v>#REF!</v>
      </c>
      <c r="GK72" t="e">
        <f>AND(#REF!,"AAAAAH9r/8A=")</f>
        <v>#REF!</v>
      </c>
      <c r="GL72" t="e">
        <f>AND(#REF!,"AAAAAH9r/8E=")</f>
        <v>#REF!</v>
      </c>
      <c r="GM72" t="e">
        <f>AND(#REF!,"AAAAAH9r/8I=")</f>
        <v>#REF!</v>
      </c>
      <c r="GN72" t="e">
        <f>AND(#REF!,"AAAAAH9r/8M=")</f>
        <v>#REF!</v>
      </c>
      <c r="GO72" t="e">
        <f>IF(#REF!,"AAAAAH9r/8Q=",0)</f>
        <v>#REF!</v>
      </c>
      <c r="GP72" t="e">
        <f>AND(#REF!,"AAAAAH9r/8U=")</f>
        <v>#REF!</v>
      </c>
      <c r="GQ72" t="e">
        <f>AND(#REF!,"AAAAAH9r/8Y=")</f>
        <v>#REF!</v>
      </c>
      <c r="GR72" t="e">
        <f>AND(#REF!,"AAAAAH9r/8c=")</f>
        <v>#REF!</v>
      </c>
      <c r="GS72" t="e">
        <f>AND(#REF!,"AAAAAH9r/8g=")</f>
        <v>#REF!</v>
      </c>
      <c r="GT72" t="e">
        <f>AND(#REF!,"AAAAAH9r/8k=")</f>
        <v>#REF!</v>
      </c>
      <c r="GU72" t="e">
        <f>AND(#REF!,"AAAAAH9r/8o=")</f>
        <v>#REF!</v>
      </c>
      <c r="GV72" t="e">
        <f>AND(#REF!,"AAAAAH9r/8s=")</f>
        <v>#REF!</v>
      </c>
      <c r="GW72" t="e">
        <f>AND(#REF!,"AAAAAH9r/8w=")</f>
        <v>#REF!</v>
      </c>
      <c r="GX72" t="e">
        <f>AND(#REF!,"AAAAAH9r/80=")</f>
        <v>#REF!</v>
      </c>
      <c r="GY72" t="e">
        <f>AND(#REF!,"AAAAAH9r/84=")</f>
        <v>#REF!</v>
      </c>
      <c r="GZ72" t="e">
        <f>AND(#REF!,"AAAAAH9r/88=")</f>
        <v>#REF!</v>
      </c>
      <c r="HA72" t="e">
        <f>AND(#REF!,"AAAAAH9r/9A=")</f>
        <v>#REF!</v>
      </c>
      <c r="HB72" t="e">
        <f>AND(#REF!,"AAAAAH9r/9E=")</f>
        <v>#REF!</v>
      </c>
      <c r="HC72" t="e">
        <f>AND(#REF!,"AAAAAH9r/9I=")</f>
        <v>#REF!</v>
      </c>
      <c r="HD72" t="e">
        <f>AND(#REF!,"AAAAAH9r/9M=")</f>
        <v>#REF!</v>
      </c>
      <c r="HE72" t="e">
        <f>AND(#REF!,"AAAAAH9r/9Q=")</f>
        <v>#REF!</v>
      </c>
      <c r="HF72" t="e">
        <f>AND(#REF!,"AAAAAH9r/9U=")</f>
        <v>#REF!</v>
      </c>
      <c r="HG72" t="e">
        <f>AND(#REF!,"AAAAAH9r/9Y=")</f>
        <v>#REF!</v>
      </c>
      <c r="HH72" t="e">
        <f>AND(#REF!,"AAAAAH9r/9c=")</f>
        <v>#REF!</v>
      </c>
      <c r="HI72" t="e">
        <f>AND(#REF!,"AAAAAH9r/9g=")</f>
        <v>#REF!</v>
      </c>
      <c r="HJ72" t="e">
        <f>AND(#REF!,"AAAAAH9r/9k=")</f>
        <v>#REF!</v>
      </c>
      <c r="HK72" t="e">
        <f>AND(#REF!,"AAAAAH9r/9o=")</f>
        <v>#REF!</v>
      </c>
      <c r="HL72" t="e">
        <f>AND(#REF!,"AAAAAH9r/9s=")</f>
        <v>#REF!</v>
      </c>
      <c r="HM72" t="e">
        <f>AND(#REF!,"AAAAAH9r/9w=")</f>
        <v>#REF!</v>
      </c>
      <c r="HN72" t="e">
        <f>AND(#REF!,"AAAAAH9r/90=")</f>
        <v>#REF!</v>
      </c>
      <c r="HO72" t="e">
        <f>AND(#REF!,"AAAAAH9r/94=")</f>
        <v>#REF!</v>
      </c>
      <c r="HP72" t="e">
        <f>AND(#REF!,"AAAAAH9r/98=")</f>
        <v>#REF!</v>
      </c>
      <c r="HQ72" t="e">
        <f>AND(#REF!,"AAAAAH9r/+A=")</f>
        <v>#REF!</v>
      </c>
      <c r="HR72" t="e">
        <f>AND(#REF!,"AAAAAH9r/+E=")</f>
        <v>#REF!</v>
      </c>
      <c r="HS72" t="e">
        <f>IF(#REF!,"AAAAAH9r/+I=",0)</f>
        <v>#REF!</v>
      </c>
      <c r="HT72" t="e">
        <f>AND(#REF!,"AAAAAH9r/+M=")</f>
        <v>#REF!</v>
      </c>
      <c r="HU72" t="e">
        <f>AND(#REF!,"AAAAAH9r/+Q=")</f>
        <v>#REF!</v>
      </c>
      <c r="HV72" t="e">
        <f>AND(#REF!,"AAAAAH9r/+U=")</f>
        <v>#REF!</v>
      </c>
      <c r="HW72" t="e">
        <f>AND(#REF!,"AAAAAH9r/+Y=")</f>
        <v>#REF!</v>
      </c>
      <c r="HX72" t="e">
        <f>AND(#REF!,"AAAAAH9r/+c=")</f>
        <v>#REF!</v>
      </c>
      <c r="HY72" t="e">
        <f>AND(#REF!,"AAAAAH9r/+g=")</f>
        <v>#REF!</v>
      </c>
      <c r="HZ72" t="e">
        <f>AND(#REF!,"AAAAAH9r/+k=")</f>
        <v>#REF!</v>
      </c>
      <c r="IA72" t="e">
        <f>AND(#REF!,"AAAAAH9r/+o=")</f>
        <v>#REF!</v>
      </c>
      <c r="IB72" t="e">
        <f>AND(#REF!,"AAAAAH9r/+s=")</f>
        <v>#REF!</v>
      </c>
      <c r="IC72" t="e">
        <f>AND(#REF!,"AAAAAH9r/+w=")</f>
        <v>#REF!</v>
      </c>
      <c r="ID72" t="e">
        <f>AND(#REF!,"AAAAAH9r/+0=")</f>
        <v>#REF!</v>
      </c>
      <c r="IE72" t="e">
        <f>AND(#REF!,"AAAAAH9r/+4=")</f>
        <v>#REF!</v>
      </c>
      <c r="IF72" t="e">
        <f>AND(#REF!,"AAAAAH9r/+8=")</f>
        <v>#REF!</v>
      </c>
      <c r="IG72" t="e">
        <f>AND(#REF!,"AAAAAH9r//A=")</f>
        <v>#REF!</v>
      </c>
      <c r="IH72" t="e">
        <f>AND(#REF!,"AAAAAH9r//E=")</f>
        <v>#REF!</v>
      </c>
      <c r="II72" t="e">
        <f>AND(#REF!,"AAAAAH9r//I=")</f>
        <v>#REF!</v>
      </c>
      <c r="IJ72" t="e">
        <f>AND(#REF!,"AAAAAH9r//M=")</f>
        <v>#REF!</v>
      </c>
      <c r="IK72" t="e">
        <f>AND(#REF!,"AAAAAH9r//Q=")</f>
        <v>#REF!</v>
      </c>
      <c r="IL72" t="e">
        <f>AND(#REF!,"AAAAAH9r//U=")</f>
        <v>#REF!</v>
      </c>
      <c r="IM72" t="e">
        <f>AND(#REF!,"AAAAAH9r//Y=")</f>
        <v>#REF!</v>
      </c>
      <c r="IN72" t="e">
        <f>AND(#REF!,"AAAAAH9r//c=")</f>
        <v>#REF!</v>
      </c>
      <c r="IO72" t="e">
        <f>AND(#REF!,"AAAAAH9r//g=")</f>
        <v>#REF!</v>
      </c>
      <c r="IP72" t="e">
        <f>AND(#REF!,"AAAAAH9r//k=")</f>
        <v>#REF!</v>
      </c>
      <c r="IQ72" t="e">
        <f>AND(#REF!,"AAAAAH9r//o=")</f>
        <v>#REF!</v>
      </c>
      <c r="IR72" t="e">
        <f>AND(#REF!,"AAAAAH9r//s=")</f>
        <v>#REF!</v>
      </c>
      <c r="IS72" t="e">
        <f>AND(#REF!,"AAAAAH9r//w=")</f>
        <v>#REF!</v>
      </c>
      <c r="IT72" t="e">
        <f>AND(#REF!,"AAAAAH9r//0=")</f>
        <v>#REF!</v>
      </c>
      <c r="IU72" t="e">
        <f>AND(#REF!,"AAAAAH9r//4=")</f>
        <v>#REF!</v>
      </c>
      <c r="IV72" t="e">
        <f>AND(#REF!,"AAAAAH9r//8=")</f>
        <v>#REF!</v>
      </c>
    </row>
    <row r="73" spans="1:256">
      <c r="A73" t="e">
        <f>IF(#REF!,"AAAAAE21/gA=",0)</f>
        <v>#REF!</v>
      </c>
      <c r="B73" t="e">
        <f>AND(#REF!,"AAAAAE21/gE=")</f>
        <v>#REF!</v>
      </c>
      <c r="C73" t="e">
        <f>AND(#REF!,"AAAAAE21/gI=")</f>
        <v>#REF!</v>
      </c>
      <c r="D73" t="e">
        <f>AND(#REF!,"AAAAAE21/gM=")</f>
        <v>#REF!</v>
      </c>
      <c r="E73" t="e">
        <f>AND(#REF!,"AAAAAE21/gQ=")</f>
        <v>#REF!</v>
      </c>
      <c r="F73" t="e">
        <f>AND(#REF!,"AAAAAE21/gU=")</f>
        <v>#REF!</v>
      </c>
      <c r="G73" t="e">
        <f>AND(#REF!,"AAAAAE21/gY=")</f>
        <v>#REF!</v>
      </c>
      <c r="H73" t="e">
        <f>AND(#REF!,"AAAAAE21/gc=")</f>
        <v>#REF!</v>
      </c>
      <c r="I73" t="e">
        <f>AND(#REF!,"AAAAAE21/gg=")</f>
        <v>#REF!</v>
      </c>
      <c r="J73" t="e">
        <f>AND(#REF!,"AAAAAE21/gk=")</f>
        <v>#REF!</v>
      </c>
      <c r="K73" t="e">
        <f>AND(#REF!,"AAAAAE21/go=")</f>
        <v>#REF!</v>
      </c>
      <c r="L73" t="e">
        <f>AND(#REF!,"AAAAAE21/gs=")</f>
        <v>#REF!</v>
      </c>
      <c r="M73" t="e">
        <f>AND(#REF!,"AAAAAE21/gw=")</f>
        <v>#REF!</v>
      </c>
      <c r="N73" t="e">
        <f>AND(#REF!,"AAAAAE21/g0=")</f>
        <v>#REF!</v>
      </c>
      <c r="O73" t="e">
        <f>AND(#REF!,"AAAAAE21/g4=")</f>
        <v>#REF!</v>
      </c>
      <c r="P73" t="e">
        <f>AND(#REF!,"AAAAAE21/g8=")</f>
        <v>#REF!</v>
      </c>
      <c r="Q73" t="e">
        <f>AND(#REF!,"AAAAAE21/hA=")</f>
        <v>#REF!</v>
      </c>
      <c r="R73" t="e">
        <f>AND(#REF!,"AAAAAE21/hE=")</f>
        <v>#REF!</v>
      </c>
      <c r="S73" t="e">
        <f>AND(#REF!,"AAAAAE21/hI=")</f>
        <v>#REF!</v>
      </c>
      <c r="T73" t="e">
        <f>AND(#REF!,"AAAAAE21/hM=")</f>
        <v>#REF!</v>
      </c>
      <c r="U73" t="e">
        <f>AND(#REF!,"AAAAAE21/hQ=")</f>
        <v>#REF!</v>
      </c>
      <c r="V73" t="e">
        <f>AND(#REF!,"AAAAAE21/hU=")</f>
        <v>#REF!</v>
      </c>
      <c r="W73" t="e">
        <f>AND(#REF!,"AAAAAE21/hY=")</f>
        <v>#REF!</v>
      </c>
      <c r="X73" t="e">
        <f>AND(#REF!,"AAAAAE21/hc=")</f>
        <v>#REF!</v>
      </c>
      <c r="Y73" t="e">
        <f>AND(#REF!,"AAAAAE21/hg=")</f>
        <v>#REF!</v>
      </c>
      <c r="Z73" t="e">
        <f>AND(#REF!,"AAAAAE21/hk=")</f>
        <v>#REF!</v>
      </c>
      <c r="AA73" t="e">
        <f>AND(#REF!,"AAAAAE21/ho=")</f>
        <v>#REF!</v>
      </c>
      <c r="AB73" t="e">
        <f>AND(#REF!,"AAAAAE21/hs=")</f>
        <v>#REF!</v>
      </c>
      <c r="AC73" t="e">
        <f>AND(#REF!,"AAAAAE21/hw=")</f>
        <v>#REF!</v>
      </c>
      <c r="AD73" t="e">
        <f>AND(#REF!,"AAAAAE21/h0=")</f>
        <v>#REF!</v>
      </c>
      <c r="AE73" t="e">
        <f>IF(#REF!,"AAAAAE21/h4=",0)</f>
        <v>#REF!</v>
      </c>
      <c r="AF73" t="e">
        <f>AND(#REF!,"AAAAAE21/h8=")</f>
        <v>#REF!</v>
      </c>
      <c r="AG73" t="e">
        <f>AND(#REF!,"AAAAAE21/iA=")</f>
        <v>#REF!</v>
      </c>
      <c r="AH73" t="e">
        <f>AND(#REF!,"AAAAAE21/iE=")</f>
        <v>#REF!</v>
      </c>
      <c r="AI73" t="e">
        <f>AND(#REF!,"AAAAAE21/iI=")</f>
        <v>#REF!</v>
      </c>
      <c r="AJ73" t="e">
        <f>AND(#REF!,"AAAAAE21/iM=")</f>
        <v>#REF!</v>
      </c>
      <c r="AK73" t="e">
        <f>AND(#REF!,"AAAAAE21/iQ=")</f>
        <v>#REF!</v>
      </c>
      <c r="AL73" t="e">
        <f>AND(#REF!,"AAAAAE21/iU=")</f>
        <v>#REF!</v>
      </c>
      <c r="AM73" t="e">
        <f>AND(#REF!,"AAAAAE21/iY=")</f>
        <v>#REF!</v>
      </c>
      <c r="AN73" t="e">
        <f>AND(#REF!,"AAAAAE21/ic=")</f>
        <v>#REF!</v>
      </c>
      <c r="AO73" t="e">
        <f>AND(#REF!,"AAAAAE21/ig=")</f>
        <v>#REF!</v>
      </c>
      <c r="AP73" t="e">
        <f>AND(#REF!,"AAAAAE21/ik=")</f>
        <v>#REF!</v>
      </c>
      <c r="AQ73" t="e">
        <f>AND(#REF!,"AAAAAE21/io=")</f>
        <v>#REF!</v>
      </c>
      <c r="AR73" t="e">
        <f>AND(#REF!,"AAAAAE21/is=")</f>
        <v>#REF!</v>
      </c>
      <c r="AS73" t="e">
        <f>AND(#REF!,"AAAAAE21/iw=")</f>
        <v>#REF!</v>
      </c>
      <c r="AT73" t="e">
        <f>AND(#REF!,"AAAAAE21/i0=")</f>
        <v>#REF!</v>
      </c>
      <c r="AU73" t="e">
        <f>AND(#REF!,"AAAAAE21/i4=")</f>
        <v>#REF!</v>
      </c>
      <c r="AV73" t="e">
        <f>AND(#REF!,"AAAAAE21/i8=")</f>
        <v>#REF!</v>
      </c>
      <c r="AW73" t="e">
        <f>AND(#REF!,"AAAAAE21/jA=")</f>
        <v>#REF!</v>
      </c>
      <c r="AX73" t="e">
        <f>AND(#REF!,"AAAAAE21/jE=")</f>
        <v>#REF!</v>
      </c>
      <c r="AY73" t="e">
        <f>AND(#REF!,"AAAAAE21/jI=")</f>
        <v>#REF!</v>
      </c>
      <c r="AZ73" t="e">
        <f>AND(#REF!,"AAAAAE21/jM=")</f>
        <v>#REF!</v>
      </c>
      <c r="BA73" t="e">
        <f>AND(#REF!,"AAAAAE21/jQ=")</f>
        <v>#REF!</v>
      </c>
      <c r="BB73" t="e">
        <f>AND(#REF!,"AAAAAE21/jU=")</f>
        <v>#REF!</v>
      </c>
      <c r="BC73" t="e">
        <f>AND(#REF!,"AAAAAE21/jY=")</f>
        <v>#REF!</v>
      </c>
      <c r="BD73" t="e">
        <f>AND(#REF!,"AAAAAE21/jc=")</f>
        <v>#REF!</v>
      </c>
      <c r="BE73" t="e">
        <f>AND(#REF!,"AAAAAE21/jg=")</f>
        <v>#REF!</v>
      </c>
      <c r="BF73" t="e">
        <f>AND(#REF!,"AAAAAE21/jk=")</f>
        <v>#REF!</v>
      </c>
      <c r="BG73" t="e">
        <f>AND(#REF!,"AAAAAE21/jo=")</f>
        <v>#REF!</v>
      </c>
      <c r="BH73" t="e">
        <f>AND(#REF!,"AAAAAE21/js=")</f>
        <v>#REF!</v>
      </c>
      <c r="BI73" t="e">
        <f>IF(#REF!,"AAAAAE21/jw=",0)</f>
        <v>#REF!</v>
      </c>
      <c r="BJ73" t="e">
        <f>AND(#REF!,"AAAAAE21/j0=")</f>
        <v>#REF!</v>
      </c>
      <c r="BK73" t="e">
        <f>AND(#REF!,"AAAAAE21/j4=")</f>
        <v>#REF!</v>
      </c>
      <c r="BL73" t="e">
        <f>AND(#REF!,"AAAAAE21/j8=")</f>
        <v>#REF!</v>
      </c>
      <c r="BM73" t="e">
        <f>AND(#REF!,"AAAAAE21/kA=")</f>
        <v>#REF!</v>
      </c>
      <c r="BN73" t="e">
        <f>AND(#REF!,"AAAAAE21/kE=")</f>
        <v>#REF!</v>
      </c>
      <c r="BO73" t="e">
        <f>AND(#REF!,"AAAAAE21/kI=")</f>
        <v>#REF!</v>
      </c>
      <c r="BP73" t="e">
        <f>AND(#REF!,"AAAAAE21/kM=")</f>
        <v>#REF!</v>
      </c>
      <c r="BQ73" t="e">
        <f>AND(#REF!,"AAAAAE21/kQ=")</f>
        <v>#REF!</v>
      </c>
      <c r="BR73" t="e">
        <f>AND(#REF!,"AAAAAE21/kU=")</f>
        <v>#REF!</v>
      </c>
      <c r="BS73" t="e">
        <f>AND(#REF!,"AAAAAE21/kY=")</f>
        <v>#REF!</v>
      </c>
      <c r="BT73" t="e">
        <f>AND(#REF!,"AAAAAE21/kc=")</f>
        <v>#REF!</v>
      </c>
      <c r="BU73" t="e">
        <f>AND(#REF!,"AAAAAE21/kg=")</f>
        <v>#REF!</v>
      </c>
      <c r="BV73" t="e">
        <f>AND(#REF!,"AAAAAE21/kk=")</f>
        <v>#REF!</v>
      </c>
      <c r="BW73" t="e">
        <f>AND(#REF!,"AAAAAE21/ko=")</f>
        <v>#REF!</v>
      </c>
      <c r="BX73" t="e">
        <f>AND(#REF!,"AAAAAE21/ks=")</f>
        <v>#REF!</v>
      </c>
      <c r="BY73" t="e">
        <f>AND(#REF!,"AAAAAE21/kw=")</f>
        <v>#REF!</v>
      </c>
      <c r="BZ73" t="e">
        <f>AND(#REF!,"AAAAAE21/k0=")</f>
        <v>#REF!</v>
      </c>
      <c r="CA73" t="e">
        <f>AND(#REF!,"AAAAAE21/k4=")</f>
        <v>#REF!</v>
      </c>
      <c r="CB73" t="e">
        <f>AND(#REF!,"AAAAAE21/k8=")</f>
        <v>#REF!</v>
      </c>
      <c r="CC73" t="e">
        <f>AND(#REF!,"AAAAAE21/lA=")</f>
        <v>#REF!</v>
      </c>
      <c r="CD73" t="e">
        <f>AND(#REF!,"AAAAAE21/lE=")</f>
        <v>#REF!</v>
      </c>
      <c r="CE73" t="e">
        <f>AND(#REF!,"AAAAAE21/lI=")</f>
        <v>#REF!</v>
      </c>
      <c r="CF73" t="e">
        <f>AND(#REF!,"AAAAAE21/lM=")</f>
        <v>#REF!</v>
      </c>
      <c r="CG73" t="e">
        <f>AND(#REF!,"AAAAAE21/lQ=")</f>
        <v>#REF!</v>
      </c>
      <c r="CH73" t="e">
        <f>AND(#REF!,"AAAAAE21/lU=")</f>
        <v>#REF!</v>
      </c>
      <c r="CI73" t="e">
        <f>AND(#REF!,"AAAAAE21/lY=")</f>
        <v>#REF!</v>
      </c>
      <c r="CJ73" t="e">
        <f>AND(#REF!,"AAAAAE21/lc=")</f>
        <v>#REF!</v>
      </c>
      <c r="CK73" t="e">
        <f>AND(#REF!,"AAAAAE21/lg=")</f>
        <v>#REF!</v>
      </c>
      <c r="CL73" t="e">
        <f>AND(#REF!,"AAAAAE21/lk=")</f>
        <v>#REF!</v>
      </c>
      <c r="CM73" t="e">
        <f>IF(#REF!,"AAAAAE21/lo=",0)</f>
        <v>#REF!</v>
      </c>
      <c r="CN73" t="e">
        <f>AND(#REF!,"AAAAAE21/ls=")</f>
        <v>#REF!</v>
      </c>
      <c r="CO73" t="e">
        <f>AND(#REF!,"AAAAAE21/lw=")</f>
        <v>#REF!</v>
      </c>
      <c r="CP73" t="e">
        <f>AND(#REF!,"AAAAAE21/l0=")</f>
        <v>#REF!</v>
      </c>
      <c r="CQ73" t="e">
        <f>AND(#REF!,"AAAAAE21/l4=")</f>
        <v>#REF!</v>
      </c>
      <c r="CR73" t="e">
        <f>AND(#REF!,"AAAAAE21/l8=")</f>
        <v>#REF!</v>
      </c>
      <c r="CS73" t="e">
        <f>AND(#REF!,"AAAAAE21/mA=")</f>
        <v>#REF!</v>
      </c>
      <c r="CT73" t="e">
        <f>AND(#REF!,"AAAAAE21/mE=")</f>
        <v>#REF!</v>
      </c>
      <c r="CU73" t="e">
        <f>AND(#REF!,"AAAAAE21/mI=")</f>
        <v>#REF!</v>
      </c>
      <c r="CV73" t="e">
        <f>AND(#REF!,"AAAAAE21/mM=")</f>
        <v>#REF!</v>
      </c>
      <c r="CW73" t="e">
        <f>AND(#REF!,"AAAAAE21/mQ=")</f>
        <v>#REF!</v>
      </c>
      <c r="CX73" t="e">
        <f>AND(#REF!,"AAAAAE21/mU=")</f>
        <v>#REF!</v>
      </c>
      <c r="CY73" t="e">
        <f>AND(#REF!,"AAAAAE21/mY=")</f>
        <v>#REF!</v>
      </c>
      <c r="CZ73" t="e">
        <f>AND(#REF!,"AAAAAE21/mc=")</f>
        <v>#REF!</v>
      </c>
      <c r="DA73" t="e">
        <f>AND(#REF!,"AAAAAE21/mg=")</f>
        <v>#REF!</v>
      </c>
      <c r="DB73" t="e">
        <f>AND(#REF!,"AAAAAE21/mk=")</f>
        <v>#REF!</v>
      </c>
      <c r="DC73" t="e">
        <f>AND(#REF!,"AAAAAE21/mo=")</f>
        <v>#REF!</v>
      </c>
      <c r="DD73" t="e">
        <f>AND(#REF!,"AAAAAE21/ms=")</f>
        <v>#REF!</v>
      </c>
      <c r="DE73" t="e">
        <f>AND(#REF!,"AAAAAE21/mw=")</f>
        <v>#REF!</v>
      </c>
      <c r="DF73" t="e">
        <f>AND(#REF!,"AAAAAE21/m0=")</f>
        <v>#REF!</v>
      </c>
      <c r="DG73" t="e">
        <f>AND(#REF!,"AAAAAE21/m4=")</f>
        <v>#REF!</v>
      </c>
      <c r="DH73" t="e">
        <f>AND(#REF!,"AAAAAE21/m8=")</f>
        <v>#REF!</v>
      </c>
      <c r="DI73" t="e">
        <f>AND(#REF!,"AAAAAE21/nA=")</f>
        <v>#REF!</v>
      </c>
      <c r="DJ73" t="e">
        <f>AND(#REF!,"AAAAAE21/nE=")</f>
        <v>#REF!</v>
      </c>
      <c r="DK73" t="e">
        <f>AND(#REF!,"AAAAAE21/nI=")</f>
        <v>#REF!</v>
      </c>
      <c r="DL73" t="e">
        <f>AND(#REF!,"AAAAAE21/nM=")</f>
        <v>#REF!</v>
      </c>
      <c r="DM73" t="e">
        <f>AND(#REF!,"AAAAAE21/nQ=")</f>
        <v>#REF!</v>
      </c>
      <c r="DN73" t="e">
        <f>AND(#REF!,"AAAAAE21/nU=")</f>
        <v>#REF!</v>
      </c>
      <c r="DO73" t="e">
        <f>AND(#REF!,"AAAAAE21/nY=")</f>
        <v>#REF!</v>
      </c>
      <c r="DP73" t="e">
        <f>AND(#REF!,"AAAAAE21/nc=")</f>
        <v>#REF!</v>
      </c>
      <c r="DQ73" t="e">
        <f>IF(#REF!,"AAAAAE21/ng=",0)</f>
        <v>#REF!</v>
      </c>
      <c r="DR73" t="e">
        <f>AND(#REF!,"AAAAAE21/nk=")</f>
        <v>#REF!</v>
      </c>
      <c r="DS73" t="e">
        <f>AND(#REF!,"AAAAAE21/no=")</f>
        <v>#REF!</v>
      </c>
      <c r="DT73" t="e">
        <f>AND(#REF!,"AAAAAE21/ns=")</f>
        <v>#REF!</v>
      </c>
      <c r="DU73" t="e">
        <f>AND(#REF!,"AAAAAE21/nw=")</f>
        <v>#REF!</v>
      </c>
      <c r="DV73" t="e">
        <f>AND(#REF!,"AAAAAE21/n0=")</f>
        <v>#REF!</v>
      </c>
      <c r="DW73" t="e">
        <f>AND(#REF!,"AAAAAE21/n4=")</f>
        <v>#REF!</v>
      </c>
      <c r="DX73" t="e">
        <f>AND(#REF!,"AAAAAE21/n8=")</f>
        <v>#REF!</v>
      </c>
      <c r="DY73" t="e">
        <f>AND(#REF!,"AAAAAE21/oA=")</f>
        <v>#REF!</v>
      </c>
      <c r="DZ73" t="e">
        <f>AND(#REF!,"AAAAAE21/oE=")</f>
        <v>#REF!</v>
      </c>
      <c r="EA73" t="e">
        <f>AND(#REF!,"AAAAAE21/oI=")</f>
        <v>#REF!</v>
      </c>
      <c r="EB73" t="e">
        <f>AND(#REF!,"AAAAAE21/oM=")</f>
        <v>#REF!</v>
      </c>
      <c r="EC73" t="e">
        <f>AND(#REF!,"AAAAAE21/oQ=")</f>
        <v>#REF!</v>
      </c>
      <c r="ED73" t="e">
        <f>AND(#REF!,"AAAAAE21/oU=")</f>
        <v>#REF!</v>
      </c>
      <c r="EE73" t="e">
        <f>AND(#REF!,"AAAAAE21/oY=")</f>
        <v>#REF!</v>
      </c>
      <c r="EF73" t="e">
        <f>AND(#REF!,"AAAAAE21/oc=")</f>
        <v>#REF!</v>
      </c>
      <c r="EG73" t="e">
        <f>AND(#REF!,"AAAAAE21/og=")</f>
        <v>#REF!</v>
      </c>
      <c r="EH73" t="e">
        <f>AND(#REF!,"AAAAAE21/ok=")</f>
        <v>#REF!</v>
      </c>
      <c r="EI73" t="e">
        <f>AND(#REF!,"AAAAAE21/oo=")</f>
        <v>#REF!</v>
      </c>
      <c r="EJ73" t="e">
        <f>AND(#REF!,"AAAAAE21/os=")</f>
        <v>#REF!</v>
      </c>
      <c r="EK73" t="e">
        <f>AND(#REF!,"AAAAAE21/ow=")</f>
        <v>#REF!</v>
      </c>
      <c r="EL73" t="e">
        <f>AND(#REF!,"AAAAAE21/o0=")</f>
        <v>#REF!</v>
      </c>
      <c r="EM73" t="e">
        <f>AND(#REF!,"AAAAAE21/o4=")</f>
        <v>#REF!</v>
      </c>
      <c r="EN73" t="e">
        <f>AND(#REF!,"AAAAAE21/o8=")</f>
        <v>#REF!</v>
      </c>
      <c r="EO73" t="e">
        <f>AND(#REF!,"AAAAAE21/pA=")</f>
        <v>#REF!</v>
      </c>
      <c r="EP73" t="e">
        <f>AND(#REF!,"AAAAAE21/pE=")</f>
        <v>#REF!</v>
      </c>
      <c r="EQ73" t="e">
        <f>AND(#REF!,"AAAAAE21/pI=")</f>
        <v>#REF!</v>
      </c>
      <c r="ER73" t="e">
        <f>AND(#REF!,"AAAAAE21/pM=")</f>
        <v>#REF!</v>
      </c>
      <c r="ES73" t="e">
        <f>AND(#REF!,"AAAAAE21/pQ=")</f>
        <v>#REF!</v>
      </c>
      <c r="ET73" t="e">
        <f>AND(#REF!,"AAAAAE21/pU=")</f>
        <v>#REF!</v>
      </c>
      <c r="EU73" t="e">
        <f>IF(#REF!,"AAAAAE21/pY=",0)</f>
        <v>#REF!</v>
      </c>
      <c r="EV73" t="e">
        <f>AND(#REF!,"AAAAAE21/pc=")</f>
        <v>#REF!</v>
      </c>
      <c r="EW73" t="e">
        <f>AND(#REF!,"AAAAAE21/pg=")</f>
        <v>#REF!</v>
      </c>
      <c r="EX73" t="e">
        <f>AND(#REF!,"AAAAAE21/pk=")</f>
        <v>#REF!</v>
      </c>
      <c r="EY73" t="e">
        <f>AND(#REF!,"AAAAAE21/po=")</f>
        <v>#REF!</v>
      </c>
      <c r="EZ73" t="e">
        <f>AND(#REF!,"AAAAAE21/ps=")</f>
        <v>#REF!</v>
      </c>
      <c r="FA73" t="e">
        <f>AND(#REF!,"AAAAAE21/pw=")</f>
        <v>#REF!</v>
      </c>
      <c r="FB73" t="e">
        <f>AND(#REF!,"AAAAAE21/p0=")</f>
        <v>#REF!</v>
      </c>
      <c r="FC73" t="e">
        <f>AND(#REF!,"AAAAAE21/p4=")</f>
        <v>#REF!</v>
      </c>
      <c r="FD73" t="e">
        <f>AND(#REF!,"AAAAAE21/p8=")</f>
        <v>#REF!</v>
      </c>
      <c r="FE73" t="e">
        <f>AND(#REF!,"AAAAAE21/qA=")</f>
        <v>#REF!</v>
      </c>
      <c r="FF73" t="e">
        <f>AND(#REF!,"AAAAAE21/qE=")</f>
        <v>#REF!</v>
      </c>
      <c r="FG73" t="e">
        <f>AND(#REF!,"AAAAAE21/qI=")</f>
        <v>#REF!</v>
      </c>
      <c r="FH73" t="e">
        <f>AND(#REF!,"AAAAAE21/qM=")</f>
        <v>#REF!</v>
      </c>
      <c r="FI73" t="e">
        <f>AND(#REF!,"AAAAAE21/qQ=")</f>
        <v>#REF!</v>
      </c>
      <c r="FJ73" t="e">
        <f>AND(#REF!,"AAAAAE21/qU=")</f>
        <v>#REF!</v>
      </c>
      <c r="FK73" t="e">
        <f>AND(#REF!,"AAAAAE21/qY=")</f>
        <v>#REF!</v>
      </c>
      <c r="FL73" t="e">
        <f>AND(#REF!,"AAAAAE21/qc=")</f>
        <v>#REF!</v>
      </c>
      <c r="FM73" t="e">
        <f>AND(#REF!,"AAAAAE21/qg=")</f>
        <v>#REF!</v>
      </c>
      <c r="FN73" t="e">
        <f>AND(#REF!,"AAAAAE21/qk=")</f>
        <v>#REF!</v>
      </c>
      <c r="FO73" t="e">
        <f>AND(#REF!,"AAAAAE21/qo=")</f>
        <v>#REF!</v>
      </c>
      <c r="FP73" t="e">
        <f>AND(#REF!,"AAAAAE21/qs=")</f>
        <v>#REF!</v>
      </c>
      <c r="FQ73" t="e">
        <f>AND(#REF!,"AAAAAE21/qw=")</f>
        <v>#REF!</v>
      </c>
      <c r="FR73" t="e">
        <f>AND(#REF!,"AAAAAE21/q0=")</f>
        <v>#REF!</v>
      </c>
      <c r="FS73" t="e">
        <f>AND(#REF!,"AAAAAE21/q4=")</f>
        <v>#REF!</v>
      </c>
      <c r="FT73" t="e">
        <f>AND(#REF!,"AAAAAE21/q8=")</f>
        <v>#REF!</v>
      </c>
      <c r="FU73" t="e">
        <f>AND(#REF!,"AAAAAE21/rA=")</f>
        <v>#REF!</v>
      </c>
      <c r="FV73" t="e">
        <f>AND(#REF!,"AAAAAE21/rE=")</f>
        <v>#REF!</v>
      </c>
      <c r="FW73" t="e">
        <f>AND(#REF!,"AAAAAE21/rI=")</f>
        <v>#REF!</v>
      </c>
      <c r="FX73" t="e">
        <f>AND(#REF!,"AAAAAE21/rM=")</f>
        <v>#REF!</v>
      </c>
      <c r="FY73" t="e">
        <f>IF(#REF!,"AAAAAE21/rQ=",0)</f>
        <v>#REF!</v>
      </c>
      <c r="FZ73" t="e">
        <f>AND(#REF!,"AAAAAE21/rU=")</f>
        <v>#REF!</v>
      </c>
      <c r="GA73" t="e">
        <f>AND(#REF!,"AAAAAE21/rY=")</f>
        <v>#REF!</v>
      </c>
      <c r="GB73" t="e">
        <f>AND(#REF!,"AAAAAE21/rc=")</f>
        <v>#REF!</v>
      </c>
      <c r="GC73" t="e">
        <f>AND(#REF!,"AAAAAE21/rg=")</f>
        <v>#REF!</v>
      </c>
      <c r="GD73" t="e">
        <f>AND(#REF!,"AAAAAE21/rk=")</f>
        <v>#REF!</v>
      </c>
      <c r="GE73" t="e">
        <f>AND(#REF!,"AAAAAE21/ro=")</f>
        <v>#REF!</v>
      </c>
      <c r="GF73" t="e">
        <f>AND(#REF!,"AAAAAE21/rs=")</f>
        <v>#REF!</v>
      </c>
      <c r="GG73" t="e">
        <f>AND(#REF!,"AAAAAE21/rw=")</f>
        <v>#REF!</v>
      </c>
      <c r="GH73" t="e">
        <f>AND(#REF!,"AAAAAE21/r0=")</f>
        <v>#REF!</v>
      </c>
      <c r="GI73" t="e">
        <f>AND(#REF!,"AAAAAE21/r4=")</f>
        <v>#REF!</v>
      </c>
      <c r="GJ73" t="e">
        <f>AND(#REF!,"AAAAAE21/r8=")</f>
        <v>#REF!</v>
      </c>
      <c r="GK73" t="e">
        <f>AND(#REF!,"AAAAAE21/sA=")</f>
        <v>#REF!</v>
      </c>
      <c r="GL73" t="e">
        <f>AND(#REF!,"AAAAAE21/sE=")</f>
        <v>#REF!</v>
      </c>
      <c r="GM73" t="e">
        <f>AND(#REF!,"AAAAAE21/sI=")</f>
        <v>#REF!</v>
      </c>
      <c r="GN73" t="e">
        <f>AND(#REF!,"AAAAAE21/sM=")</f>
        <v>#REF!</v>
      </c>
      <c r="GO73" t="e">
        <f>AND(#REF!,"AAAAAE21/sQ=")</f>
        <v>#REF!</v>
      </c>
      <c r="GP73" t="e">
        <f>AND(#REF!,"AAAAAE21/sU=")</f>
        <v>#REF!</v>
      </c>
      <c r="GQ73" t="e">
        <f>AND(#REF!,"AAAAAE21/sY=")</f>
        <v>#REF!</v>
      </c>
      <c r="GR73" t="e">
        <f>AND(#REF!,"AAAAAE21/sc=")</f>
        <v>#REF!</v>
      </c>
      <c r="GS73" t="e">
        <f>AND(#REF!,"AAAAAE21/sg=")</f>
        <v>#REF!</v>
      </c>
      <c r="GT73" t="e">
        <f>AND(#REF!,"AAAAAE21/sk=")</f>
        <v>#REF!</v>
      </c>
      <c r="GU73" t="e">
        <f>AND(#REF!,"AAAAAE21/so=")</f>
        <v>#REF!</v>
      </c>
      <c r="GV73" t="e">
        <f>AND(#REF!,"AAAAAE21/ss=")</f>
        <v>#REF!</v>
      </c>
      <c r="GW73" t="e">
        <f>AND(#REF!,"AAAAAE21/sw=")</f>
        <v>#REF!</v>
      </c>
      <c r="GX73" t="e">
        <f>AND(#REF!,"AAAAAE21/s0=")</f>
        <v>#REF!</v>
      </c>
      <c r="GY73" t="e">
        <f>AND(#REF!,"AAAAAE21/s4=")</f>
        <v>#REF!</v>
      </c>
      <c r="GZ73" t="e">
        <f>AND(#REF!,"AAAAAE21/s8=")</f>
        <v>#REF!</v>
      </c>
      <c r="HA73" t="e">
        <f>AND(#REF!,"AAAAAE21/tA=")</f>
        <v>#REF!</v>
      </c>
      <c r="HB73" t="e">
        <f>AND(#REF!,"AAAAAE21/tE=")</f>
        <v>#REF!</v>
      </c>
      <c r="HC73" t="e">
        <f>IF(#REF!,"AAAAAE21/tI=",0)</f>
        <v>#REF!</v>
      </c>
      <c r="HD73" t="e">
        <f>AND(#REF!,"AAAAAE21/tM=")</f>
        <v>#REF!</v>
      </c>
      <c r="HE73" t="e">
        <f>AND(#REF!,"AAAAAE21/tQ=")</f>
        <v>#REF!</v>
      </c>
      <c r="HF73" t="e">
        <f>AND(#REF!,"AAAAAE21/tU=")</f>
        <v>#REF!</v>
      </c>
      <c r="HG73" t="e">
        <f>AND(#REF!,"AAAAAE21/tY=")</f>
        <v>#REF!</v>
      </c>
      <c r="HH73" t="e">
        <f>AND(#REF!,"AAAAAE21/tc=")</f>
        <v>#REF!</v>
      </c>
      <c r="HI73" t="e">
        <f>AND(#REF!,"AAAAAE21/tg=")</f>
        <v>#REF!</v>
      </c>
      <c r="HJ73" t="e">
        <f>AND(#REF!,"AAAAAE21/tk=")</f>
        <v>#REF!</v>
      </c>
      <c r="HK73" t="e">
        <f>AND(#REF!,"AAAAAE21/to=")</f>
        <v>#REF!</v>
      </c>
      <c r="HL73" t="e">
        <f>AND(#REF!,"AAAAAE21/ts=")</f>
        <v>#REF!</v>
      </c>
      <c r="HM73" t="e">
        <f>AND(#REF!,"AAAAAE21/tw=")</f>
        <v>#REF!</v>
      </c>
      <c r="HN73" t="e">
        <f>AND(#REF!,"AAAAAE21/t0=")</f>
        <v>#REF!</v>
      </c>
      <c r="HO73" t="e">
        <f>AND(#REF!,"AAAAAE21/t4=")</f>
        <v>#REF!</v>
      </c>
      <c r="HP73" t="e">
        <f>AND(#REF!,"AAAAAE21/t8=")</f>
        <v>#REF!</v>
      </c>
      <c r="HQ73" t="e">
        <f>AND(#REF!,"AAAAAE21/uA=")</f>
        <v>#REF!</v>
      </c>
      <c r="HR73" t="e">
        <f>AND(#REF!,"AAAAAE21/uE=")</f>
        <v>#REF!</v>
      </c>
      <c r="HS73" t="e">
        <f>AND(#REF!,"AAAAAE21/uI=")</f>
        <v>#REF!</v>
      </c>
      <c r="HT73" t="e">
        <f>AND(#REF!,"AAAAAE21/uM=")</f>
        <v>#REF!</v>
      </c>
      <c r="HU73" t="e">
        <f>AND(#REF!,"AAAAAE21/uQ=")</f>
        <v>#REF!</v>
      </c>
      <c r="HV73" t="e">
        <f>AND(#REF!,"AAAAAE21/uU=")</f>
        <v>#REF!</v>
      </c>
      <c r="HW73" t="e">
        <f>AND(#REF!,"AAAAAE21/uY=")</f>
        <v>#REF!</v>
      </c>
      <c r="HX73" t="e">
        <f>AND(#REF!,"AAAAAE21/uc=")</f>
        <v>#REF!</v>
      </c>
      <c r="HY73" t="e">
        <f>AND(#REF!,"AAAAAE21/ug=")</f>
        <v>#REF!</v>
      </c>
      <c r="HZ73" t="e">
        <f>AND(#REF!,"AAAAAE21/uk=")</f>
        <v>#REF!</v>
      </c>
      <c r="IA73" t="e">
        <f>AND(#REF!,"AAAAAE21/uo=")</f>
        <v>#REF!</v>
      </c>
      <c r="IB73" t="e">
        <f>AND(#REF!,"AAAAAE21/us=")</f>
        <v>#REF!</v>
      </c>
      <c r="IC73" t="e">
        <f>AND(#REF!,"AAAAAE21/uw=")</f>
        <v>#REF!</v>
      </c>
      <c r="ID73" t="e">
        <f>AND(#REF!,"AAAAAE21/u0=")</f>
        <v>#REF!</v>
      </c>
      <c r="IE73" t="e">
        <f>AND(#REF!,"AAAAAE21/u4=")</f>
        <v>#REF!</v>
      </c>
      <c r="IF73" t="e">
        <f>AND(#REF!,"AAAAAE21/u8=")</f>
        <v>#REF!</v>
      </c>
      <c r="IG73" t="e">
        <f>IF(#REF!,"AAAAAE21/vA=",0)</f>
        <v>#REF!</v>
      </c>
      <c r="IH73" t="e">
        <f>AND(#REF!,"AAAAAE21/vE=")</f>
        <v>#REF!</v>
      </c>
      <c r="II73" t="e">
        <f>AND(#REF!,"AAAAAE21/vI=")</f>
        <v>#REF!</v>
      </c>
      <c r="IJ73" t="e">
        <f>AND(#REF!,"AAAAAE21/vM=")</f>
        <v>#REF!</v>
      </c>
      <c r="IK73" t="e">
        <f>AND(#REF!,"AAAAAE21/vQ=")</f>
        <v>#REF!</v>
      </c>
      <c r="IL73" t="e">
        <f>AND(#REF!,"AAAAAE21/vU=")</f>
        <v>#REF!</v>
      </c>
      <c r="IM73" t="e">
        <f>AND(#REF!,"AAAAAE21/vY=")</f>
        <v>#REF!</v>
      </c>
      <c r="IN73" t="e">
        <f>AND(#REF!,"AAAAAE21/vc=")</f>
        <v>#REF!</v>
      </c>
      <c r="IO73" t="e">
        <f>AND(#REF!,"AAAAAE21/vg=")</f>
        <v>#REF!</v>
      </c>
      <c r="IP73" t="e">
        <f>AND(#REF!,"AAAAAE21/vk=")</f>
        <v>#REF!</v>
      </c>
      <c r="IQ73" t="e">
        <f>AND(#REF!,"AAAAAE21/vo=")</f>
        <v>#REF!</v>
      </c>
      <c r="IR73" t="e">
        <f>AND(#REF!,"AAAAAE21/vs=")</f>
        <v>#REF!</v>
      </c>
      <c r="IS73" t="e">
        <f>AND(#REF!,"AAAAAE21/vw=")</f>
        <v>#REF!</v>
      </c>
      <c r="IT73" t="e">
        <f>AND(#REF!,"AAAAAE21/v0=")</f>
        <v>#REF!</v>
      </c>
      <c r="IU73" t="e">
        <f>AND(#REF!,"AAAAAE21/v4=")</f>
        <v>#REF!</v>
      </c>
      <c r="IV73" t="e">
        <f>AND(#REF!,"AAAAAE21/v8=")</f>
        <v>#REF!</v>
      </c>
    </row>
    <row r="74" spans="1:256">
      <c r="A74" t="e">
        <f>AND(#REF!,"AAAAAB/1WQA=")</f>
        <v>#REF!</v>
      </c>
      <c r="B74" t="e">
        <f>AND(#REF!,"AAAAAB/1WQE=")</f>
        <v>#REF!</v>
      </c>
      <c r="C74" t="e">
        <f>AND(#REF!,"AAAAAB/1WQI=")</f>
        <v>#REF!</v>
      </c>
      <c r="D74" t="e">
        <f>AND(#REF!,"AAAAAB/1WQM=")</f>
        <v>#REF!</v>
      </c>
      <c r="E74" t="e">
        <f>AND(#REF!,"AAAAAB/1WQQ=")</f>
        <v>#REF!</v>
      </c>
      <c r="F74" t="e">
        <f>AND(#REF!,"AAAAAB/1WQU=")</f>
        <v>#REF!</v>
      </c>
      <c r="G74" t="e">
        <f>AND(#REF!,"AAAAAB/1WQY=")</f>
        <v>#REF!</v>
      </c>
      <c r="H74" t="e">
        <f>AND(#REF!,"AAAAAB/1WQc=")</f>
        <v>#REF!</v>
      </c>
      <c r="I74" t="e">
        <f>AND(#REF!,"AAAAAB/1WQg=")</f>
        <v>#REF!</v>
      </c>
      <c r="J74" t="e">
        <f>AND(#REF!,"AAAAAB/1WQk=")</f>
        <v>#REF!</v>
      </c>
      <c r="K74" t="e">
        <f>AND(#REF!,"AAAAAB/1WQo=")</f>
        <v>#REF!</v>
      </c>
      <c r="L74" t="e">
        <f>AND(#REF!,"AAAAAB/1WQs=")</f>
        <v>#REF!</v>
      </c>
      <c r="M74" t="e">
        <f>AND(#REF!,"AAAAAB/1WQw=")</f>
        <v>#REF!</v>
      </c>
      <c r="N74" t="e">
        <f>AND(#REF!,"AAAAAB/1WQ0=")</f>
        <v>#REF!</v>
      </c>
      <c r="O74" t="e">
        <f>IF(#REF!,"AAAAAB/1WQ4=",0)</f>
        <v>#REF!</v>
      </c>
      <c r="P74" t="e">
        <f>AND(#REF!,"AAAAAB/1WQ8=")</f>
        <v>#REF!</v>
      </c>
      <c r="Q74" t="e">
        <f>AND(#REF!,"AAAAAB/1WRA=")</f>
        <v>#REF!</v>
      </c>
      <c r="R74" t="e">
        <f>AND(#REF!,"AAAAAB/1WRE=")</f>
        <v>#REF!</v>
      </c>
      <c r="S74" t="e">
        <f>AND(#REF!,"AAAAAB/1WRI=")</f>
        <v>#REF!</v>
      </c>
      <c r="T74" t="e">
        <f>AND(#REF!,"AAAAAB/1WRM=")</f>
        <v>#REF!</v>
      </c>
      <c r="U74" t="e">
        <f>AND(#REF!,"AAAAAB/1WRQ=")</f>
        <v>#REF!</v>
      </c>
      <c r="V74" t="e">
        <f>AND(#REF!,"AAAAAB/1WRU=")</f>
        <v>#REF!</v>
      </c>
      <c r="W74" t="e">
        <f>AND(#REF!,"AAAAAB/1WRY=")</f>
        <v>#REF!</v>
      </c>
      <c r="X74" t="e">
        <f>AND(#REF!,"AAAAAB/1WRc=")</f>
        <v>#REF!</v>
      </c>
      <c r="Y74" t="e">
        <f>AND(#REF!,"AAAAAB/1WRg=")</f>
        <v>#REF!</v>
      </c>
      <c r="Z74" t="e">
        <f>AND(#REF!,"AAAAAB/1WRk=")</f>
        <v>#REF!</v>
      </c>
      <c r="AA74" t="e">
        <f>AND(#REF!,"AAAAAB/1WRo=")</f>
        <v>#REF!</v>
      </c>
      <c r="AB74" t="e">
        <f>AND(#REF!,"AAAAAB/1WRs=")</f>
        <v>#REF!</v>
      </c>
      <c r="AC74" t="e">
        <f>AND(#REF!,"AAAAAB/1WRw=")</f>
        <v>#REF!</v>
      </c>
      <c r="AD74" t="e">
        <f>AND(#REF!,"AAAAAB/1WR0=")</f>
        <v>#REF!</v>
      </c>
      <c r="AE74" t="e">
        <f>AND(#REF!,"AAAAAB/1WR4=")</f>
        <v>#REF!</v>
      </c>
      <c r="AF74" t="e">
        <f>AND(#REF!,"AAAAAB/1WR8=")</f>
        <v>#REF!</v>
      </c>
      <c r="AG74" t="e">
        <f>AND(#REF!,"AAAAAB/1WSA=")</f>
        <v>#REF!</v>
      </c>
      <c r="AH74" t="e">
        <f>AND(#REF!,"AAAAAB/1WSE=")</f>
        <v>#REF!</v>
      </c>
      <c r="AI74" t="e">
        <f>AND(#REF!,"AAAAAB/1WSI=")</f>
        <v>#REF!</v>
      </c>
      <c r="AJ74" t="e">
        <f>AND(#REF!,"AAAAAB/1WSM=")</f>
        <v>#REF!</v>
      </c>
      <c r="AK74" t="e">
        <f>AND(#REF!,"AAAAAB/1WSQ=")</f>
        <v>#REF!</v>
      </c>
      <c r="AL74" t="e">
        <f>AND(#REF!,"AAAAAB/1WSU=")</f>
        <v>#REF!</v>
      </c>
      <c r="AM74" t="e">
        <f>AND(#REF!,"AAAAAB/1WSY=")</f>
        <v>#REF!</v>
      </c>
      <c r="AN74" t="e">
        <f>AND(#REF!,"AAAAAB/1WSc=")</f>
        <v>#REF!</v>
      </c>
      <c r="AO74" t="e">
        <f>AND(#REF!,"AAAAAB/1WSg=")</f>
        <v>#REF!</v>
      </c>
      <c r="AP74" t="e">
        <f>AND(#REF!,"AAAAAB/1WSk=")</f>
        <v>#REF!</v>
      </c>
      <c r="AQ74" t="e">
        <f>AND(#REF!,"AAAAAB/1WSo=")</f>
        <v>#REF!</v>
      </c>
      <c r="AR74" t="e">
        <f>AND(#REF!,"AAAAAB/1WSs=")</f>
        <v>#REF!</v>
      </c>
      <c r="AS74" t="e">
        <f>IF(#REF!,"AAAAAB/1WSw=",0)</f>
        <v>#REF!</v>
      </c>
      <c r="AT74" t="e">
        <f>AND(#REF!,"AAAAAB/1WS0=")</f>
        <v>#REF!</v>
      </c>
      <c r="AU74" t="e">
        <f>AND(#REF!,"AAAAAB/1WS4=")</f>
        <v>#REF!</v>
      </c>
      <c r="AV74" t="e">
        <f>AND(#REF!,"AAAAAB/1WS8=")</f>
        <v>#REF!</v>
      </c>
      <c r="AW74" t="e">
        <f>AND(#REF!,"AAAAAB/1WTA=")</f>
        <v>#REF!</v>
      </c>
      <c r="AX74" t="e">
        <f>AND(#REF!,"AAAAAB/1WTE=")</f>
        <v>#REF!</v>
      </c>
      <c r="AY74" t="e">
        <f>AND(#REF!,"AAAAAB/1WTI=")</f>
        <v>#REF!</v>
      </c>
      <c r="AZ74" t="e">
        <f>AND(#REF!,"AAAAAB/1WTM=")</f>
        <v>#REF!</v>
      </c>
      <c r="BA74" t="e">
        <f>AND(#REF!,"AAAAAB/1WTQ=")</f>
        <v>#REF!</v>
      </c>
      <c r="BB74" t="e">
        <f>AND(#REF!,"AAAAAB/1WTU=")</f>
        <v>#REF!</v>
      </c>
      <c r="BC74" t="e">
        <f>AND(#REF!,"AAAAAB/1WTY=")</f>
        <v>#REF!</v>
      </c>
      <c r="BD74" t="e">
        <f>AND(#REF!,"AAAAAB/1WTc=")</f>
        <v>#REF!</v>
      </c>
      <c r="BE74" t="e">
        <f>AND(#REF!,"AAAAAB/1WTg=")</f>
        <v>#REF!</v>
      </c>
      <c r="BF74" t="e">
        <f>AND(#REF!,"AAAAAB/1WTk=")</f>
        <v>#REF!</v>
      </c>
      <c r="BG74" t="e">
        <f>AND(#REF!,"AAAAAB/1WTo=")</f>
        <v>#REF!</v>
      </c>
      <c r="BH74" t="e">
        <f>AND(#REF!,"AAAAAB/1WTs=")</f>
        <v>#REF!</v>
      </c>
      <c r="BI74" t="e">
        <f>AND(#REF!,"AAAAAB/1WTw=")</f>
        <v>#REF!</v>
      </c>
      <c r="BJ74" t="e">
        <f>AND(#REF!,"AAAAAB/1WT0=")</f>
        <v>#REF!</v>
      </c>
      <c r="BK74" t="e">
        <f>AND(#REF!,"AAAAAB/1WT4=")</f>
        <v>#REF!</v>
      </c>
      <c r="BL74" t="e">
        <f>AND(#REF!,"AAAAAB/1WT8=")</f>
        <v>#REF!</v>
      </c>
      <c r="BM74" t="e">
        <f>AND(#REF!,"AAAAAB/1WUA=")</f>
        <v>#REF!</v>
      </c>
      <c r="BN74" t="e">
        <f>AND(#REF!,"AAAAAB/1WUE=")</f>
        <v>#REF!</v>
      </c>
      <c r="BO74" t="e">
        <f>AND(#REF!,"AAAAAB/1WUI=")</f>
        <v>#REF!</v>
      </c>
      <c r="BP74" t="e">
        <f>AND(#REF!,"AAAAAB/1WUM=")</f>
        <v>#REF!</v>
      </c>
      <c r="BQ74" t="e">
        <f>AND(#REF!,"AAAAAB/1WUQ=")</f>
        <v>#REF!</v>
      </c>
      <c r="BR74" t="e">
        <f>AND(#REF!,"AAAAAB/1WUU=")</f>
        <v>#REF!</v>
      </c>
      <c r="BS74" t="e">
        <f>AND(#REF!,"AAAAAB/1WUY=")</f>
        <v>#REF!</v>
      </c>
      <c r="BT74" t="e">
        <f>AND(#REF!,"AAAAAB/1WUc=")</f>
        <v>#REF!</v>
      </c>
      <c r="BU74" t="e">
        <f>AND(#REF!,"AAAAAB/1WUg=")</f>
        <v>#REF!</v>
      </c>
      <c r="BV74" t="e">
        <f>AND(#REF!,"AAAAAB/1WUk=")</f>
        <v>#REF!</v>
      </c>
      <c r="BW74" t="e">
        <f>IF(#REF!,"AAAAAB/1WUo=",0)</f>
        <v>#REF!</v>
      </c>
      <c r="BX74" t="e">
        <f>AND(#REF!,"AAAAAB/1WUs=")</f>
        <v>#REF!</v>
      </c>
      <c r="BY74" t="e">
        <f>AND(#REF!,"AAAAAB/1WUw=")</f>
        <v>#REF!</v>
      </c>
      <c r="BZ74" t="e">
        <f>AND(#REF!,"AAAAAB/1WU0=")</f>
        <v>#REF!</v>
      </c>
      <c r="CA74" t="e">
        <f>AND(#REF!,"AAAAAB/1WU4=")</f>
        <v>#REF!</v>
      </c>
      <c r="CB74" t="e">
        <f>AND(#REF!,"AAAAAB/1WU8=")</f>
        <v>#REF!</v>
      </c>
      <c r="CC74" t="e">
        <f>AND(#REF!,"AAAAAB/1WVA=")</f>
        <v>#REF!</v>
      </c>
      <c r="CD74" t="e">
        <f>AND(#REF!,"AAAAAB/1WVE=")</f>
        <v>#REF!</v>
      </c>
      <c r="CE74" t="e">
        <f>AND(#REF!,"AAAAAB/1WVI=")</f>
        <v>#REF!</v>
      </c>
      <c r="CF74" t="e">
        <f>AND(#REF!,"AAAAAB/1WVM=")</f>
        <v>#REF!</v>
      </c>
      <c r="CG74" t="e">
        <f>AND(#REF!,"AAAAAB/1WVQ=")</f>
        <v>#REF!</v>
      </c>
      <c r="CH74" t="e">
        <f>AND(#REF!,"AAAAAB/1WVU=")</f>
        <v>#REF!</v>
      </c>
      <c r="CI74" t="e">
        <f>AND(#REF!,"AAAAAB/1WVY=")</f>
        <v>#REF!</v>
      </c>
      <c r="CJ74" t="e">
        <f>AND(#REF!,"AAAAAB/1WVc=")</f>
        <v>#REF!</v>
      </c>
      <c r="CK74" t="e">
        <f>AND(#REF!,"AAAAAB/1WVg=")</f>
        <v>#REF!</v>
      </c>
      <c r="CL74" t="e">
        <f>AND(#REF!,"AAAAAB/1WVk=")</f>
        <v>#REF!</v>
      </c>
      <c r="CM74" t="e">
        <f>AND(#REF!,"AAAAAB/1WVo=")</f>
        <v>#REF!</v>
      </c>
      <c r="CN74" t="e">
        <f>AND(#REF!,"AAAAAB/1WVs=")</f>
        <v>#REF!</v>
      </c>
      <c r="CO74" t="e">
        <f>AND(#REF!,"AAAAAB/1WVw=")</f>
        <v>#REF!</v>
      </c>
      <c r="CP74" t="e">
        <f>AND(#REF!,"AAAAAB/1WV0=")</f>
        <v>#REF!</v>
      </c>
      <c r="CQ74" t="e">
        <f>AND(#REF!,"AAAAAB/1WV4=")</f>
        <v>#REF!</v>
      </c>
      <c r="CR74" t="e">
        <f>AND(#REF!,"AAAAAB/1WV8=")</f>
        <v>#REF!</v>
      </c>
      <c r="CS74" t="e">
        <f>AND(#REF!,"AAAAAB/1WWA=")</f>
        <v>#REF!</v>
      </c>
      <c r="CT74" t="e">
        <f>AND(#REF!,"AAAAAB/1WWE=")</f>
        <v>#REF!</v>
      </c>
      <c r="CU74" t="e">
        <f>AND(#REF!,"AAAAAB/1WWI=")</f>
        <v>#REF!</v>
      </c>
      <c r="CV74" t="e">
        <f>AND(#REF!,"AAAAAB/1WWM=")</f>
        <v>#REF!</v>
      </c>
      <c r="CW74" t="e">
        <f>AND(#REF!,"AAAAAB/1WWQ=")</f>
        <v>#REF!</v>
      </c>
      <c r="CX74" t="e">
        <f>AND(#REF!,"AAAAAB/1WWU=")</f>
        <v>#REF!</v>
      </c>
      <c r="CY74" t="e">
        <f>AND(#REF!,"AAAAAB/1WWY=")</f>
        <v>#REF!</v>
      </c>
      <c r="CZ74" t="e">
        <f>AND(#REF!,"AAAAAB/1WWc=")</f>
        <v>#REF!</v>
      </c>
      <c r="DA74" t="e">
        <f>IF(#REF!,"AAAAAB/1WWg=",0)</f>
        <v>#REF!</v>
      </c>
      <c r="DB74" t="e">
        <f>AND(#REF!,"AAAAAB/1WWk=")</f>
        <v>#REF!</v>
      </c>
      <c r="DC74" t="e">
        <f>AND(#REF!,"AAAAAB/1WWo=")</f>
        <v>#REF!</v>
      </c>
      <c r="DD74" t="e">
        <f>AND(#REF!,"AAAAAB/1WWs=")</f>
        <v>#REF!</v>
      </c>
      <c r="DE74" t="e">
        <f>AND(#REF!,"AAAAAB/1WWw=")</f>
        <v>#REF!</v>
      </c>
      <c r="DF74" t="e">
        <f>AND(#REF!,"AAAAAB/1WW0=")</f>
        <v>#REF!</v>
      </c>
      <c r="DG74" t="e">
        <f>AND(#REF!,"AAAAAB/1WW4=")</f>
        <v>#REF!</v>
      </c>
      <c r="DH74" t="e">
        <f>AND(#REF!,"AAAAAB/1WW8=")</f>
        <v>#REF!</v>
      </c>
      <c r="DI74" t="e">
        <f>AND(#REF!,"AAAAAB/1WXA=")</f>
        <v>#REF!</v>
      </c>
      <c r="DJ74" t="e">
        <f>AND(#REF!,"AAAAAB/1WXE=")</f>
        <v>#REF!</v>
      </c>
      <c r="DK74" t="e">
        <f>AND(#REF!,"AAAAAB/1WXI=")</f>
        <v>#REF!</v>
      </c>
      <c r="DL74" t="e">
        <f>AND(#REF!,"AAAAAB/1WXM=")</f>
        <v>#REF!</v>
      </c>
      <c r="DM74" t="e">
        <f>AND(#REF!,"AAAAAB/1WXQ=")</f>
        <v>#REF!</v>
      </c>
      <c r="DN74" t="e">
        <f>AND(#REF!,"AAAAAB/1WXU=")</f>
        <v>#REF!</v>
      </c>
      <c r="DO74" t="e">
        <f>AND(#REF!,"AAAAAB/1WXY=")</f>
        <v>#REF!</v>
      </c>
      <c r="DP74" t="e">
        <f>AND(#REF!,"AAAAAB/1WXc=")</f>
        <v>#REF!</v>
      </c>
      <c r="DQ74" t="e">
        <f>AND(#REF!,"AAAAAB/1WXg=")</f>
        <v>#REF!</v>
      </c>
      <c r="DR74" t="e">
        <f>AND(#REF!,"AAAAAB/1WXk=")</f>
        <v>#REF!</v>
      </c>
      <c r="DS74" t="e">
        <f>AND(#REF!,"AAAAAB/1WXo=")</f>
        <v>#REF!</v>
      </c>
      <c r="DT74" t="e">
        <f>AND(#REF!,"AAAAAB/1WXs=")</f>
        <v>#REF!</v>
      </c>
      <c r="DU74" t="e">
        <f>AND(#REF!,"AAAAAB/1WXw=")</f>
        <v>#REF!</v>
      </c>
      <c r="DV74" t="e">
        <f>AND(#REF!,"AAAAAB/1WX0=")</f>
        <v>#REF!</v>
      </c>
      <c r="DW74" t="e">
        <f>AND(#REF!,"AAAAAB/1WX4=")</f>
        <v>#REF!</v>
      </c>
      <c r="DX74" t="e">
        <f>AND(#REF!,"AAAAAB/1WX8=")</f>
        <v>#REF!</v>
      </c>
      <c r="DY74" t="e">
        <f>AND(#REF!,"AAAAAB/1WYA=")</f>
        <v>#REF!</v>
      </c>
      <c r="DZ74" t="e">
        <f>AND(#REF!,"AAAAAB/1WYE=")</f>
        <v>#REF!</v>
      </c>
      <c r="EA74" t="e">
        <f>AND(#REF!,"AAAAAB/1WYI=")</f>
        <v>#REF!</v>
      </c>
      <c r="EB74" t="e">
        <f>AND(#REF!,"AAAAAB/1WYM=")</f>
        <v>#REF!</v>
      </c>
      <c r="EC74" t="e">
        <f>AND(#REF!,"AAAAAB/1WYQ=")</f>
        <v>#REF!</v>
      </c>
      <c r="ED74" t="e">
        <f>AND(#REF!,"AAAAAB/1WYU=")</f>
        <v>#REF!</v>
      </c>
      <c r="EE74" t="e">
        <f>IF(#REF!,"AAAAAB/1WYY=",0)</f>
        <v>#REF!</v>
      </c>
      <c r="EF74" t="e">
        <f>AND(#REF!,"AAAAAB/1WYc=")</f>
        <v>#REF!</v>
      </c>
      <c r="EG74" t="e">
        <f>AND(#REF!,"AAAAAB/1WYg=")</f>
        <v>#REF!</v>
      </c>
      <c r="EH74" t="e">
        <f>AND(#REF!,"AAAAAB/1WYk=")</f>
        <v>#REF!</v>
      </c>
      <c r="EI74" t="e">
        <f>AND(#REF!,"AAAAAB/1WYo=")</f>
        <v>#REF!</v>
      </c>
      <c r="EJ74" t="e">
        <f>AND(#REF!,"AAAAAB/1WYs=")</f>
        <v>#REF!</v>
      </c>
      <c r="EK74" t="e">
        <f>AND(#REF!,"AAAAAB/1WYw=")</f>
        <v>#REF!</v>
      </c>
      <c r="EL74" t="e">
        <f>AND(#REF!,"AAAAAB/1WY0=")</f>
        <v>#REF!</v>
      </c>
      <c r="EM74" t="e">
        <f>AND(#REF!,"AAAAAB/1WY4=")</f>
        <v>#REF!</v>
      </c>
      <c r="EN74" t="e">
        <f>AND(#REF!,"AAAAAB/1WY8=")</f>
        <v>#REF!</v>
      </c>
      <c r="EO74" t="e">
        <f>AND(#REF!,"AAAAAB/1WZA=")</f>
        <v>#REF!</v>
      </c>
      <c r="EP74" t="e">
        <f>AND(#REF!,"AAAAAB/1WZE=")</f>
        <v>#REF!</v>
      </c>
      <c r="EQ74" t="e">
        <f>AND(#REF!,"AAAAAB/1WZI=")</f>
        <v>#REF!</v>
      </c>
      <c r="ER74" t="e">
        <f>AND(#REF!,"AAAAAB/1WZM=")</f>
        <v>#REF!</v>
      </c>
      <c r="ES74" t="e">
        <f>AND(#REF!,"AAAAAB/1WZQ=")</f>
        <v>#REF!</v>
      </c>
      <c r="ET74" t="e">
        <f>AND(#REF!,"AAAAAB/1WZU=")</f>
        <v>#REF!</v>
      </c>
      <c r="EU74" t="e">
        <f>AND(#REF!,"AAAAAB/1WZY=")</f>
        <v>#REF!</v>
      </c>
      <c r="EV74" t="e">
        <f>AND(#REF!,"AAAAAB/1WZc=")</f>
        <v>#REF!</v>
      </c>
      <c r="EW74" t="e">
        <f>AND(#REF!,"AAAAAB/1WZg=")</f>
        <v>#REF!</v>
      </c>
      <c r="EX74" t="e">
        <f>AND(#REF!,"AAAAAB/1WZk=")</f>
        <v>#REF!</v>
      </c>
      <c r="EY74" t="e">
        <f>AND(#REF!,"AAAAAB/1WZo=")</f>
        <v>#REF!</v>
      </c>
      <c r="EZ74" t="e">
        <f>AND(#REF!,"AAAAAB/1WZs=")</f>
        <v>#REF!</v>
      </c>
      <c r="FA74" t="e">
        <f>AND(#REF!,"AAAAAB/1WZw=")</f>
        <v>#REF!</v>
      </c>
      <c r="FB74" t="e">
        <f>AND(#REF!,"AAAAAB/1WZ0=")</f>
        <v>#REF!</v>
      </c>
      <c r="FC74" t="e">
        <f>AND(#REF!,"AAAAAB/1WZ4=")</f>
        <v>#REF!</v>
      </c>
      <c r="FD74" t="e">
        <f>AND(#REF!,"AAAAAB/1WZ8=")</f>
        <v>#REF!</v>
      </c>
      <c r="FE74" t="e">
        <f>AND(#REF!,"AAAAAB/1WaA=")</f>
        <v>#REF!</v>
      </c>
      <c r="FF74" t="e">
        <f>AND(#REF!,"AAAAAB/1WaE=")</f>
        <v>#REF!</v>
      </c>
      <c r="FG74" t="e">
        <f>AND(#REF!,"AAAAAB/1WaI=")</f>
        <v>#REF!</v>
      </c>
      <c r="FH74" t="e">
        <f>AND(#REF!,"AAAAAB/1WaM=")</f>
        <v>#REF!</v>
      </c>
      <c r="FI74" t="e">
        <f>IF(#REF!,"AAAAAB/1WaQ=",0)</f>
        <v>#REF!</v>
      </c>
      <c r="FJ74" t="e">
        <f>AND(#REF!,"AAAAAB/1WaU=")</f>
        <v>#REF!</v>
      </c>
      <c r="FK74" t="e">
        <f>AND(#REF!,"AAAAAB/1WaY=")</f>
        <v>#REF!</v>
      </c>
      <c r="FL74" t="e">
        <f>AND(#REF!,"AAAAAB/1Wac=")</f>
        <v>#REF!</v>
      </c>
      <c r="FM74" t="e">
        <f>AND(#REF!,"AAAAAB/1Wag=")</f>
        <v>#REF!</v>
      </c>
      <c r="FN74" t="e">
        <f>AND(#REF!,"AAAAAB/1Wak=")</f>
        <v>#REF!</v>
      </c>
      <c r="FO74" t="e">
        <f>AND(#REF!,"AAAAAB/1Wao=")</f>
        <v>#REF!</v>
      </c>
      <c r="FP74" t="e">
        <f>AND(#REF!,"AAAAAB/1Was=")</f>
        <v>#REF!</v>
      </c>
      <c r="FQ74" t="e">
        <f>AND(#REF!,"AAAAAB/1Waw=")</f>
        <v>#REF!</v>
      </c>
      <c r="FR74" t="e">
        <f>AND(#REF!,"AAAAAB/1Wa0=")</f>
        <v>#REF!</v>
      </c>
      <c r="FS74" t="e">
        <f>AND(#REF!,"AAAAAB/1Wa4=")</f>
        <v>#REF!</v>
      </c>
      <c r="FT74" t="e">
        <f>AND(#REF!,"AAAAAB/1Wa8=")</f>
        <v>#REF!</v>
      </c>
      <c r="FU74" t="e">
        <f>AND(#REF!,"AAAAAB/1WbA=")</f>
        <v>#REF!</v>
      </c>
      <c r="FV74" t="e">
        <f>AND(#REF!,"AAAAAB/1WbE=")</f>
        <v>#REF!</v>
      </c>
      <c r="FW74" t="e">
        <f>AND(#REF!,"AAAAAB/1WbI=")</f>
        <v>#REF!</v>
      </c>
      <c r="FX74" t="e">
        <f>AND(#REF!,"AAAAAB/1WbM=")</f>
        <v>#REF!</v>
      </c>
      <c r="FY74" t="e">
        <f>AND(#REF!,"AAAAAB/1WbQ=")</f>
        <v>#REF!</v>
      </c>
      <c r="FZ74" t="e">
        <f>AND(#REF!,"AAAAAB/1WbU=")</f>
        <v>#REF!</v>
      </c>
      <c r="GA74" t="e">
        <f>AND(#REF!,"AAAAAB/1WbY=")</f>
        <v>#REF!</v>
      </c>
      <c r="GB74" t="e">
        <f>AND(#REF!,"AAAAAB/1Wbc=")</f>
        <v>#REF!</v>
      </c>
      <c r="GC74" t="e">
        <f>AND(#REF!,"AAAAAB/1Wbg=")</f>
        <v>#REF!</v>
      </c>
      <c r="GD74" t="e">
        <f>AND(#REF!,"AAAAAB/1Wbk=")</f>
        <v>#REF!</v>
      </c>
      <c r="GE74" t="e">
        <f>AND(#REF!,"AAAAAB/1Wbo=")</f>
        <v>#REF!</v>
      </c>
      <c r="GF74" t="e">
        <f>AND(#REF!,"AAAAAB/1Wbs=")</f>
        <v>#REF!</v>
      </c>
      <c r="GG74" t="e">
        <f>AND(#REF!,"AAAAAB/1Wbw=")</f>
        <v>#REF!</v>
      </c>
      <c r="GH74" t="e">
        <f>AND(#REF!,"AAAAAB/1Wb0=")</f>
        <v>#REF!</v>
      </c>
      <c r="GI74" t="e">
        <f>AND(#REF!,"AAAAAB/1Wb4=")</f>
        <v>#REF!</v>
      </c>
      <c r="GJ74" t="e">
        <f>AND(#REF!,"AAAAAB/1Wb8=")</f>
        <v>#REF!</v>
      </c>
      <c r="GK74" t="e">
        <f>AND(#REF!,"AAAAAB/1WcA=")</f>
        <v>#REF!</v>
      </c>
      <c r="GL74" t="e">
        <f>AND(#REF!,"AAAAAB/1WcE=")</f>
        <v>#REF!</v>
      </c>
      <c r="GM74" t="e">
        <f>IF(#REF!,"AAAAAB/1WcI=",0)</f>
        <v>#REF!</v>
      </c>
      <c r="GN74" t="e">
        <f>AND(#REF!,"AAAAAB/1WcM=")</f>
        <v>#REF!</v>
      </c>
      <c r="GO74" t="e">
        <f>AND(#REF!,"AAAAAB/1WcQ=")</f>
        <v>#REF!</v>
      </c>
      <c r="GP74" t="e">
        <f>AND(#REF!,"AAAAAB/1WcU=")</f>
        <v>#REF!</v>
      </c>
      <c r="GQ74" t="e">
        <f>AND(#REF!,"AAAAAB/1WcY=")</f>
        <v>#REF!</v>
      </c>
      <c r="GR74" t="e">
        <f>AND(#REF!,"AAAAAB/1Wcc=")</f>
        <v>#REF!</v>
      </c>
      <c r="GS74" t="e">
        <f>AND(#REF!,"AAAAAB/1Wcg=")</f>
        <v>#REF!</v>
      </c>
      <c r="GT74" t="e">
        <f>AND(#REF!,"AAAAAB/1Wck=")</f>
        <v>#REF!</v>
      </c>
      <c r="GU74" t="e">
        <f>AND(#REF!,"AAAAAB/1Wco=")</f>
        <v>#REF!</v>
      </c>
      <c r="GV74" t="e">
        <f>AND(#REF!,"AAAAAB/1Wcs=")</f>
        <v>#REF!</v>
      </c>
      <c r="GW74" t="e">
        <f>AND(#REF!,"AAAAAB/1Wcw=")</f>
        <v>#REF!</v>
      </c>
      <c r="GX74" t="e">
        <f>AND(#REF!,"AAAAAB/1Wc0=")</f>
        <v>#REF!</v>
      </c>
      <c r="GY74" t="e">
        <f>AND(#REF!,"AAAAAB/1Wc4=")</f>
        <v>#REF!</v>
      </c>
      <c r="GZ74" t="e">
        <f>AND(#REF!,"AAAAAB/1Wc8=")</f>
        <v>#REF!</v>
      </c>
      <c r="HA74" t="e">
        <f>AND(#REF!,"AAAAAB/1WdA=")</f>
        <v>#REF!</v>
      </c>
      <c r="HB74" t="e">
        <f>AND(#REF!,"AAAAAB/1WdE=")</f>
        <v>#REF!</v>
      </c>
      <c r="HC74" t="e">
        <f>AND(#REF!,"AAAAAB/1WdI=")</f>
        <v>#REF!</v>
      </c>
      <c r="HD74" t="e">
        <f>AND(#REF!,"AAAAAB/1WdM=")</f>
        <v>#REF!</v>
      </c>
      <c r="HE74" t="e">
        <f>AND(#REF!,"AAAAAB/1WdQ=")</f>
        <v>#REF!</v>
      </c>
      <c r="HF74" t="e">
        <f>AND(#REF!,"AAAAAB/1WdU=")</f>
        <v>#REF!</v>
      </c>
      <c r="HG74" t="e">
        <f>AND(#REF!,"AAAAAB/1WdY=")</f>
        <v>#REF!</v>
      </c>
      <c r="HH74" t="e">
        <f>AND(#REF!,"AAAAAB/1Wdc=")</f>
        <v>#REF!</v>
      </c>
      <c r="HI74" t="e">
        <f>AND(#REF!,"AAAAAB/1Wdg=")</f>
        <v>#REF!</v>
      </c>
      <c r="HJ74" t="e">
        <f>AND(#REF!,"AAAAAB/1Wdk=")</f>
        <v>#REF!</v>
      </c>
      <c r="HK74" t="e">
        <f>AND(#REF!,"AAAAAB/1Wdo=")</f>
        <v>#REF!</v>
      </c>
      <c r="HL74" t="e">
        <f>AND(#REF!,"AAAAAB/1Wds=")</f>
        <v>#REF!</v>
      </c>
      <c r="HM74" t="e">
        <f>AND(#REF!,"AAAAAB/1Wdw=")</f>
        <v>#REF!</v>
      </c>
      <c r="HN74" t="e">
        <f>AND(#REF!,"AAAAAB/1Wd0=")</f>
        <v>#REF!</v>
      </c>
      <c r="HO74" t="e">
        <f>AND(#REF!,"AAAAAB/1Wd4=")</f>
        <v>#REF!</v>
      </c>
      <c r="HP74" t="e">
        <f>AND(#REF!,"AAAAAB/1Wd8=")</f>
        <v>#REF!</v>
      </c>
      <c r="HQ74" t="e">
        <f>IF(#REF!,"AAAAAB/1WeA=",0)</f>
        <v>#REF!</v>
      </c>
      <c r="HR74" t="e">
        <f>AND(#REF!,"AAAAAB/1WeE=")</f>
        <v>#REF!</v>
      </c>
      <c r="HS74" t="e">
        <f>AND(#REF!,"AAAAAB/1WeI=")</f>
        <v>#REF!</v>
      </c>
      <c r="HT74" t="e">
        <f>AND(#REF!,"AAAAAB/1WeM=")</f>
        <v>#REF!</v>
      </c>
      <c r="HU74" t="e">
        <f>AND(#REF!,"AAAAAB/1WeQ=")</f>
        <v>#REF!</v>
      </c>
      <c r="HV74" t="e">
        <f>AND(#REF!,"AAAAAB/1WeU=")</f>
        <v>#REF!</v>
      </c>
      <c r="HW74" t="e">
        <f>AND(#REF!,"AAAAAB/1WeY=")</f>
        <v>#REF!</v>
      </c>
      <c r="HX74" t="e">
        <f>AND(#REF!,"AAAAAB/1Wec=")</f>
        <v>#REF!</v>
      </c>
      <c r="HY74" t="e">
        <f>AND(#REF!,"AAAAAB/1Weg=")</f>
        <v>#REF!</v>
      </c>
      <c r="HZ74" t="e">
        <f>AND(#REF!,"AAAAAB/1Wek=")</f>
        <v>#REF!</v>
      </c>
      <c r="IA74" t="e">
        <f>AND(#REF!,"AAAAAB/1Weo=")</f>
        <v>#REF!</v>
      </c>
      <c r="IB74" t="e">
        <f>AND(#REF!,"AAAAAB/1Wes=")</f>
        <v>#REF!</v>
      </c>
      <c r="IC74" t="e">
        <f>AND(#REF!,"AAAAAB/1Wew=")</f>
        <v>#REF!</v>
      </c>
      <c r="ID74" t="e">
        <f>AND(#REF!,"AAAAAB/1We0=")</f>
        <v>#REF!</v>
      </c>
      <c r="IE74" t="e">
        <f>AND(#REF!,"AAAAAB/1We4=")</f>
        <v>#REF!</v>
      </c>
      <c r="IF74" t="e">
        <f>AND(#REF!,"AAAAAB/1We8=")</f>
        <v>#REF!</v>
      </c>
      <c r="IG74" t="e">
        <f>AND(#REF!,"AAAAAB/1WfA=")</f>
        <v>#REF!</v>
      </c>
      <c r="IH74" t="e">
        <f>AND(#REF!,"AAAAAB/1WfE=")</f>
        <v>#REF!</v>
      </c>
      <c r="II74" t="e">
        <f>AND(#REF!,"AAAAAB/1WfI=")</f>
        <v>#REF!</v>
      </c>
      <c r="IJ74" t="e">
        <f>AND(#REF!,"AAAAAB/1WfM=")</f>
        <v>#REF!</v>
      </c>
      <c r="IK74" t="e">
        <f>AND(#REF!,"AAAAAB/1WfQ=")</f>
        <v>#REF!</v>
      </c>
      <c r="IL74" t="e">
        <f>AND(#REF!,"AAAAAB/1WfU=")</f>
        <v>#REF!</v>
      </c>
      <c r="IM74" t="e">
        <f>AND(#REF!,"AAAAAB/1WfY=")</f>
        <v>#REF!</v>
      </c>
      <c r="IN74" t="e">
        <f>AND(#REF!,"AAAAAB/1Wfc=")</f>
        <v>#REF!</v>
      </c>
      <c r="IO74" t="e">
        <f>AND(#REF!,"AAAAAB/1Wfg=")</f>
        <v>#REF!</v>
      </c>
      <c r="IP74" t="e">
        <f>AND(#REF!,"AAAAAB/1Wfk=")</f>
        <v>#REF!</v>
      </c>
      <c r="IQ74" t="e">
        <f>AND(#REF!,"AAAAAB/1Wfo=")</f>
        <v>#REF!</v>
      </c>
      <c r="IR74" t="e">
        <f>AND(#REF!,"AAAAAB/1Wfs=")</f>
        <v>#REF!</v>
      </c>
      <c r="IS74" t="e">
        <f>AND(#REF!,"AAAAAB/1Wfw=")</f>
        <v>#REF!</v>
      </c>
      <c r="IT74" t="e">
        <f>AND(#REF!,"AAAAAB/1Wf0=")</f>
        <v>#REF!</v>
      </c>
      <c r="IU74" t="e">
        <f>IF(#REF!,"AAAAAB/1Wf4=",0)</f>
        <v>#REF!</v>
      </c>
      <c r="IV74" t="e">
        <f>AND(#REF!,"AAAAAB/1Wf8=")</f>
        <v>#REF!</v>
      </c>
    </row>
    <row r="75" spans="1:256">
      <c r="A75" t="e">
        <f>AND(#REF!,"AAAAAF/v7gA=")</f>
        <v>#REF!</v>
      </c>
      <c r="B75" t="e">
        <f>AND(#REF!,"AAAAAF/v7gE=")</f>
        <v>#REF!</v>
      </c>
      <c r="C75" t="e">
        <f>AND(#REF!,"AAAAAF/v7gI=")</f>
        <v>#REF!</v>
      </c>
      <c r="D75" t="e">
        <f>AND(#REF!,"AAAAAF/v7gM=")</f>
        <v>#REF!</v>
      </c>
      <c r="E75" t="e">
        <f>AND(#REF!,"AAAAAF/v7gQ=")</f>
        <v>#REF!</v>
      </c>
      <c r="F75" t="e">
        <f>AND(#REF!,"AAAAAF/v7gU=")</f>
        <v>#REF!</v>
      </c>
      <c r="G75" t="e">
        <f>AND(#REF!,"AAAAAF/v7gY=")</f>
        <v>#REF!</v>
      </c>
      <c r="H75" t="e">
        <f>AND(#REF!,"AAAAAF/v7gc=")</f>
        <v>#REF!</v>
      </c>
      <c r="I75" t="e">
        <f>AND(#REF!,"AAAAAF/v7gg=")</f>
        <v>#REF!</v>
      </c>
      <c r="J75" t="e">
        <f>AND(#REF!,"AAAAAF/v7gk=")</f>
        <v>#REF!</v>
      </c>
      <c r="K75" t="e">
        <f>AND(#REF!,"AAAAAF/v7go=")</f>
        <v>#REF!</v>
      </c>
      <c r="L75" t="e">
        <f>AND(#REF!,"AAAAAF/v7gs=")</f>
        <v>#REF!</v>
      </c>
      <c r="M75" t="e">
        <f>AND(#REF!,"AAAAAF/v7gw=")</f>
        <v>#REF!</v>
      </c>
      <c r="N75" t="e">
        <f>AND(#REF!,"AAAAAF/v7g0=")</f>
        <v>#REF!</v>
      </c>
      <c r="O75" t="e">
        <f>AND(#REF!,"AAAAAF/v7g4=")</f>
        <v>#REF!</v>
      </c>
      <c r="P75" t="e">
        <f>AND(#REF!,"AAAAAF/v7g8=")</f>
        <v>#REF!</v>
      </c>
      <c r="Q75" t="e">
        <f>AND(#REF!,"AAAAAF/v7hA=")</f>
        <v>#REF!</v>
      </c>
      <c r="R75" t="e">
        <f>AND(#REF!,"AAAAAF/v7hE=")</f>
        <v>#REF!</v>
      </c>
      <c r="S75" t="e">
        <f>AND(#REF!,"AAAAAF/v7hI=")</f>
        <v>#REF!</v>
      </c>
      <c r="T75" t="e">
        <f>AND(#REF!,"AAAAAF/v7hM=")</f>
        <v>#REF!</v>
      </c>
      <c r="U75" t="e">
        <f>AND(#REF!,"AAAAAF/v7hQ=")</f>
        <v>#REF!</v>
      </c>
      <c r="V75" t="e">
        <f>AND(#REF!,"AAAAAF/v7hU=")</f>
        <v>#REF!</v>
      </c>
      <c r="W75" t="e">
        <f>AND(#REF!,"AAAAAF/v7hY=")</f>
        <v>#REF!</v>
      </c>
      <c r="X75" t="e">
        <f>AND(#REF!,"AAAAAF/v7hc=")</f>
        <v>#REF!</v>
      </c>
      <c r="Y75" t="e">
        <f>AND(#REF!,"AAAAAF/v7hg=")</f>
        <v>#REF!</v>
      </c>
      <c r="Z75" t="e">
        <f>AND(#REF!,"AAAAAF/v7hk=")</f>
        <v>#REF!</v>
      </c>
      <c r="AA75" t="e">
        <f>AND(#REF!,"AAAAAF/v7ho=")</f>
        <v>#REF!</v>
      </c>
      <c r="AB75" t="e">
        <f>AND(#REF!,"AAAAAF/v7hs=")</f>
        <v>#REF!</v>
      </c>
      <c r="AC75" t="e">
        <f>IF(#REF!,"AAAAAF/v7hw=",0)</f>
        <v>#REF!</v>
      </c>
      <c r="AD75" t="e">
        <f>AND(#REF!,"AAAAAF/v7h0=")</f>
        <v>#REF!</v>
      </c>
      <c r="AE75" t="e">
        <f>AND(#REF!,"AAAAAF/v7h4=")</f>
        <v>#REF!</v>
      </c>
      <c r="AF75" t="e">
        <f>AND(#REF!,"AAAAAF/v7h8=")</f>
        <v>#REF!</v>
      </c>
      <c r="AG75" t="e">
        <f>AND(#REF!,"AAAAAF/v7iA=")</f>
        <v>#REF!</v>
      </c>
      <c r="AH75" t="e">
        <f>AND(#REF!,"AAAAAF/v7iE=")</f>
        <v>#REF!</v>
      </c>
      <c r="AI75" t="e">
        <f>AND(#REF!,"AAAAAF/v7iI=")</f>
        <v>#REF!</v>
      </c>
      <c r="AJ75" t="e">
        <f>AND(#REF!,"AAAAAF/v7iM=")</f>
        <v>#REF!</v>
      </c>
      <c r="AK75" t="e">
        <f>AND(#REF!,"AAAAAF/v7iQ=")</f>
        <v>#REF!</v>
      </c>
      <c r="AL75" t="e">
        <f>AND(#REF!,"AAAAAF/v7iU=")</f>
        <v>#REF!</v>
      </c>
      <c r="AM75" t="e">
        <f>AND(#REF!,"AAAAAF/v7iY=")</f>
        <v>#REF!</v>
      </c>
      <c r="AN75" t="e">
        <f>AND(#REF!,"AAAAAF/v7ic=")</f>
        <v>#REF!</v>
      </c>
      <c r="AO75" t="e">
        <f>AND(#REF!,"AAAAAF/v7ig=")</f>
        <v>#REF!</v>
      </c>
      <c r="AP75" t="e">
        <f>AND(#REF!,"AAAAAF/v7ik=")</f>
        <v>#REF!</v>
      </c>
      <c r="AQ75" t="e">
        <f>AND(#REF!,"AAAAAF/v7io=")</f>
        <v>#REF!</v>
      </c>
      <c r="AR75" t="e">
        <f>AND(#REF!,"AAAAAF/v7is=")</f>
        <v>#REF!</v>
      </c>
      <c r="AS75" t="e">
        <f>AND(#REF!,"AAAAAF/v7iw=")</f>
        <v>#REF!</v>
      </c>
      <c r="AT75" t="e">
        <f>AND(#REF!,"AAAAAF/v7i0=")</f>
        <v>#REF!</v>
      </c>
      <c r="AU75" t="e">
        <f>AND(#REF!,"AAAAAF/v7i4=")</f>
        <v>#REF!</v>
      </c>
      <c r="AV75" t="e">
        <f>AND(#REF!,"AAAAAF/v7i8=")</f>
        <v>#REF!</v>
      </c>
      <c r="AW75" t="e">
        <f>AND(#REF!,"AAAAAF/v7jA=")</f>
        <v>#REF!</v>
      </c>
      <c r="AX75" t="e">
        <f>AND(#REF!,"AAAAAF/v7jE=")</f>
        <v>#REF!</v>
      </c>
      <c r="AY75" t="e">
        <f>AND(#REF!,"AAAAAF/v7jI=")</f>
        <v>#REF!</v>
      </c>
      <c r="AZ75" t="e">
        <f>AND(#REF!,"AAAAAF/v7jM=")</f>
        <v>#REF!</v>
      </c>
      <c r="BA75" t="e">
        <f>AND(#REF!,"AAAAAF/v7jQ=")</f>
        <v>#REF!</v>
      </c>
      <c r="BB75" t="e">
        <f>AND(#REF!,"AAAAAF/v7jU=")</f>
        <v>#REF!</v>
      </c>
      <c r="BC75" t="e">
        <f>AND(#REF!,"AAAAAF/v7jY=")</f>
        <v>#REF!</v>
      </c>
      <c r="BD75" t="e">
        <f>AND(#REF!,"AAAAAF/v7jc=")</f>
        <v>#REF!</v>
      </c>
      <c r="BE75" t="e">
        <f>AND(#REF!,"AAAAAF/v7jg=")</f>
        <v>#REF!</v>
      </c>
      <c r="BF75" t="e">
        <f>AND(#REF!,"AAAAAF/v7jk=")</f>
        <v>#REF!</v>
      </c>
      <c r="BG75" t="e">
        <f>IF(#REF!,"AAAAAF/v7jo=",0)</f>
        <v>#REF!</v>
      </c>
      <c r="BH75" t="e">
        <f>AND(#REF!,"AAAAAF/v7js=")</f>
        <v>#REF!</v>
      </c>
      <c r="BI75" t="e">
        <f>AND(#REF!,"AAAAAF/v7jw=")</f>
        <v>#REF!</v>
      </c>
      <c r="BJ75" t="e">
        <f>AND(#REF!,"AAAAAF/v7j0=")</f>
        <v>#REF!</v>
      </c>
      <c r="BK75" t="e">
        <f>AND(#REF!,"AAAAAF/v7j4=")</f>
        <v>#REF!</v>
      </c>
      <c r="BL75" t="e">
        <f>AND(#REF!,"AAAAAF/v7j8=")</f>
        <v>#REF!</v>
      </c>
      <c r="BM75" t="e">
        <f>AND(#REF!,"AAAAAF/v7kA=")</f>
        <v>#REF!</v>
      </c>
      <c r="BN75" t="e">
        <f>AND(#REF!,"AAAAAF/v7kE=")</f>
        <v>#REF!</v>
      </c>
      <c r="BO75" t="e">
        <f>AND(#REF!,"AAAAAF/v7kI=")</f>
        <v>#REF!</v>
      </c>
      <c r="BP75" t="e">
        <f>AND(#REF!,"AAAAAF/v7kM=")</f>
        <v>#REF!</v>
      </c>
      <c r="BQ75" t="e">
        <f>AND(#REF!,"AAAAAF/v7kQ=")</f>
        <v>#REF!</v>
      </c>
      <c r="BR75" t="e">
        <f>AND(#REF!,"AAAAAF/v7kU=")</f>
        <v>#REF!</v>
      </c>
      <c r="BS75" t="e">
        <f>AND(#REF!,"AAAAAF/v7kY=")</f>
        <v>#REF!</v>
      </c>
      <c r="BT75" t="e">
        <f>AND(#REF!,"AAAAAF/v7kc=")</f>
        <v>#REF!</v>
      </c>
      <c r="BU75" t="e">
        <f>AND(#REF!,"AAAAAF/v7kg=")</f>
        <v>#REF!</v>
      </c>
      <c r="BV75" t="e">
        <f>AND(#REF!,"AAAAAF/v7kk=")</f>
        <v>#REF!</v>
      </c>
      <c r="BW75" t="e">
        <f>AND(#REF!,"AAAAAF/v7ko=")</f>
        <v>#REF!</v>
      </c>
      <c r="BX75" t="e">
        <f>AND(#REF!,"AAAAAF/v7ks=")</f>
        <v>#REF!</v>
      </c>
      <c r="BY75" t="e">
        <f>AND(#REF!,"AAAAAF/v7kw=")</f>
        <v>#REF!</v>
      </c>
      <c r="BZ75" t="e">
        <f>AND(#REF!,"AAAAAF/v7k0=")</f>
        <v>#REF!</v>
      </c>
      <c r="CA75" t="e">
        <f>AND(#REF!,"AAAAAF/v7k4=")</f>
        <v>#REF!</v>
      </c>
      <c r="CB75" t="e">
        <f>AND(#REF!,"AAAAAF/v7k8=")</f>
        <v>#REF!</v>
      </c>
      <c r="CC75" t="e">
        <f>AND(#REF!,"AAAAAF/v7lA=")</f>
        <v>#REF!</v>
      </c>
      <c r="CD75" t="e">
        <f>AND(#REF!,"AAAAAF/v7lE=")</f>
        <v>#REF!</v>
      </c>
      <c r="CE75" t="e">
        <f>AND(#REF!,"AAAAAF/v7lI=")</f>
        <v>#REF!</v>
      </c>
      <c r="CF75" t="e">
        <f>AND(#REF!,"AAAAAF/v7lM=")</f>
        <v>#REF!</v>
      </c>
      <c r="CG75" t="e">
        <f>AND(#REF!,"AAAAAF/v7lQ=")</f>
        <v>#REF!</v>
      </c>
      <c r="CH75" t="e">
        <f>AND(#REF!,"AAAAAF/v7lU=")</f>
        <v>#REF!</v>
      </c>
      <c r="CI75" t="e">
        <f>AND(#REF!,"AAAAAF/v7lY=")</f>
        <v>#REF!</v>
      </c>
      <c r="CJ75" t="e">
        <f>AND(#REF!,"AAAAAF/v7lc=")</f>
        <v>#REF!</v>
      </c>
      <c r="CK75" t="e">
        <f>IF(#REF!,"AAAAAF/v7lg=",0)</f>
        <v>#REF!</v>
      </c>
      <c r="CL75" t="e">
        <f>AND(#REF!,"AAAAAF/v7lk=")</f>
        <v>#REF!</v>
      </c>
      <c r="CM75" t="e">
        <f>AND(#REF!,"AAAAAF/v7lo=")</f>
        <v>#REF!</v>
      </c>
      <c r="CN75" t="e">
        <f>AND(#REF!,"AAAAAF/v7ls=")</f>
        <v>#REF!</v>
      </c>
      <c r="CO75" t="e">
        <f>AND(#REF!,"AAAAAF/v7lw=")</f>
        <v>#REF!</v>
      </c>
      <c r="CP75" t="e">
        <f>AND(#REF!,"AAAAAF/v7l0=")</f>
        <v>#REF!</v>
      </c>
      <c r="CQ75" t="e">
        <f>AND(#REF!,"AAAAAF/v7l4=")</f>
        <v>#REF!</v>
      </c>
      <c r="CR75" t="e">
        <f>AND(#REF!,"AAAAAF/v7l8=")</f>
        <v>#REF!</v>
      </c>
      <c r="CS75" t="e">
        <f>AND(#REF!,"AAAAAF/v7mA=")</f>
        <v>#REF!</v>
      </c>
      <c r="CT75" t="e">
        <f>AND(#REF!,"AAAAAF/v7mE=")</f>
        <v>#REF!</v>
      </c>
      <c r="CU75" t="e">
        <f>AND(#REF!,"AAAAAF/v7mI=")</f>
        <v>#REF!</v>
      </c>
      <c r="CV75" t="e">
        <f>AND(#REF!,"AAAAAF/v7mM=")</f>
        <v>#REF!</v>
      </c>
      <c r="CW75" t="e">
        <f>AND(#REF!,"AAAAAF/v7mQ=")</f>
        <v>#REF!</v>
      </c>
      <c r="CX75" t="e">
        <f>AND(#REF!,"AAAAAF/v7mU=")</f>
        <v>#REF!</v>
      </c>
      <c r="CY75" t="e">
        <f>AND(#REF!,"AAAAAF/v7mY=")</f>
        <v>#REF!</v>
      </c>
      <c r="CZ75" t="e">
        <f>AND(#REF!,"AAAAAF/v7mc=")</f>
        <v>#REF!</v>
      </c>
      <c r="DA75" t="e">
        <f>AND(#REF!,"AAAAAF/v7mg=")</f>
        <v>#REF!</v>
      </c>
      <c r="DB75" t="e">
        <f>AND(#REF!,"AAAAAF/v7mk=")</f>
        <v>#REF!</v>
      </c>
      <c r="DC75" t="e">
        <f>AND(#REF!,"AAAAAF/v7mo=")</f>
        <v>#REF!</v>
      </c>
      <c r="DD75" t="e">
        <f>AND(#REF!,"AAAAAF/v7ms=")</f>
        <v>#REF!</v>
      </c>
      <c r="DE75" t="e">
        <f>AND(#REF!,"AAAAAF/v7mw=")</f>
        <v>#REF!</v>
      </c>
      <c r="DF75" t="e">
        <f>AND(#REF!,"AAAAAF/v7m0=")</f>
        <v>#REF!</v>
      </c>
      <c r="DG75" t="e">
        <f>AND(#REF!,"AAAAAF/v7m4=")</f>
        <v>#REF!</v>
      </c>
      <c r="DH75" t="e">
        <f>AND(#REF!,"AAAAAF/v7m8=")</f>
        <v>#REF!</v>
      </c>
      <c r="DI75" t="e">
        <f>AND(#REF!,"AAAAAF/v7nA=")</f>
        <v>#REF!</v>
      </c>
      <c r="DJ75" t="e">
        <f>AND(#REF!,"AAAAAF/v7nE=")</f>
        <v>#REF!</v>
      </c>
      <c r="DK75" t="e">
        <f>AND(#REF!,"AAAAAF/v7nI=")</f>
        <v>#REF!</v>
      </c>
      <c r="DL75" t="e">
        <f>AND(#REF!,"AAAAAF/v7nM=")</f>
        <v>#REF!</v>
      </c>
      <c r="DM75" t="e">
        <f>AND(#REF!,"AAAAAF/v7nQ=")</f>
        <v>#REF!</v>
      </c>
      <c r="DN75" t="e">
        <f>AND(#REF!,"AAAAAF/v7nU=")</f>
        <v>#REF!</v>
      </c>
      <c r="DO75" t="e">
        <f>IF(#REF!,"AAAAAF/v7nY=",0)</f>
        <v>#REF!</v>
      </c>
      <c r="DP75" t="e">
        <f>AND(#REF!,"AAAAAF/v7nc=")</f>
        <v>#REF!</v>
      </c>
      <c r="DQ75" t="e">
        <f>AND(#REF!,"AAAAAF/v7ng=")</f>
        <v>#REF!</v>
      </c>
      <c r="DR75" t="e">
        <f>AND(#REF!,"AAAAAF/v7nk=")</f>
        <v>#REF!</v>
      </c>
      <c r="DS75" t="e">
        <f>AND(#REF!,"AAAAAF/v7no=")</f>
        <v>#REF!</v>
      </c>
      <c r="DT75" t="e">
        <f>AND(#REF!,"AAAAAF/v7ns=")</f>
        <v>#REF!</v>
      </c>
      <c r="DU75" t="e">
        <f>AND(#REF!,"AAAAAF/v7nw=")</f>
        <v>#REF!</v>
      </c>
      <c r="DV75" t="e">
        <f>AND(#REF!,"AAAAAF/v7n0=")</f>
        <v>#REF!</v>
      </c>
      <c r="DW75" t="e">
        <f>AND(#REF!,"AAAAAF/v7n4=")</f>
        <v>#REF!</v>
      </c>
      <c r="DX75" t="e">
        <f>AND(#REF!,"AAAAAF/v7n8=")</f>
        <v>#REF!</v>
      </c>
      <c r="DY75" t="e">
        <f>AND(#REF!,"AAAAAF/v7oA=")</f>
        <v>#REF!</v>
      </c>
      <c r="DZ75" t="e">
        <f>AND(#REF!,"AAAAAF/v7oE=")</f>
        <v>#REF!</v>
      </c>
      <c r="EA75" t="e">
        <f>AND(#REF!,"AAAAAF/v7oI=")</f>
        <v>#REF!</v>
      </c>
      <c r="EB75" t="e">
        <f>AND(#REF!,"AAAAAF/v7oM=")</f>
        <v>#REF!</v>
      </c>
      <c r="EC75" t="e">
        <f>AND(#REF!,"AAAAAF/v7oQ=")</f>
        <v>#REF!</v>
      </c>
      <c r="ED75" t="e">
        <f>AND(#REF!,"AAAAAF/v7oU=")</f>
        <v>#REF!</v>
      </c>
      <c r="EE75" t="e">
        <f>AND(#REF!,"AAAAAF/v7oY=")</f>
        <v>#REF!</v>
      </c>
      <c r="EF75" t="e">
        <f>AND(#REF!,"AAAAAF/v7oc=")</f>
        <v>#REF!</v>
      </c>
      <c r="EG75" t="e">
        <f>AND(#REF!,"AAAAAF/v7og=")</f>
        <v>#REF!</v>
      </c>
      <c r="EH75" t="e">
        <f>AND(#REF!,"AAAAAF/v7ok=")</f>
        <v>#REF!</v>
      </c>
      <c r="EI75" t="e">
        <f>AND(#REF!,"AAAAAF/v7oo=")</f>
        <v>#REF!</v>
      </c>
      <c r="EJ75" t="e">
        <f>AND(#REF!,"AAAAAF/v7os=")</f>
        <v>#REF!</v>
      </c>
      <c r="EK75" t="e">
        <f>AND(#REF!,"AAAAAF/v7ow=")</f>
        <v>#REF!</v>
      </c>
      <c r="EL75" t="e">
        <f>AND(#REF!,"AAAAAF/v7o0=")</f>
        <v>#REF!</v>
      </c>
      <c r="EM75" t="e">
        <f>AND(#REF!,"AAAAAF/v7o4=")</f>
        <v>#REF!</v>
      </c>
      <c r="EN75" t="e">
        <f>AND(#REF!,"AAAAAF/v7o8=")</f>
        <v>#REF!</v>
      </c>
      <c r="EO75" t="e">
        <f>AND(#REF!,"AAAAAF/v7pA=")</f>
        <v>#REF!</v>
      </c>
      <c r="EP75" t="e">
        <f>AND(#REF!,"AAAAAF/v7pE=")</f>
        <v>#REF!</v>
      </c>
      <c r="EQ75" t="e">
        <f>AND(#REF!,"AAAAAF/v7pI=")</f>
        <v>#REF!</v>
      </c>
      <c r="ER75" t="e">
        <f>AND(#REF!,"AAAAAF/v7pM=")</f>
        <v>#REF!</v>
      </c>
      <c r="ES75" t="e">
        <f>IF(#REF!,"AAAAAF/v7pQ=",0)</f>
        <v>#REF!</v>
      </c>
      <c r="ET75" t="e">
        <f>AND(#REF!,"AAAAAF/v7pU=")</f>
        <v>#REF!</v>
      </c>
      <c r="EU75" t="e">
        <f>AND(#REF!,"AAAAAF/v7pY=")</f>
        <v>#REF!</v>
      </c>
      <c r="EV75" t="e">
        <f>AND(#REF!,"AAAAAF/v7pc=")</f>
        <v>#REF!</v>
      </c>
      <c r="EW75" t="e">
        <f>AND(#REF!,"AAAAAF/v7pg=")</f>
        <v>#REF!</v>
      </c>
      <c r="EX75" t="e">
        <f>AND(#REF!,"AAAAAF/v7pk=")</f>
        <v>#REF!</v>
      </c>
      <c r="EY75" t="e">
        <f>AND(#REF!,"AAAAAF/v7po=")</f>
        <v>#REF!</v>
      </c>
      <c r="EZ75" t="e">
        <f>AND(#REF!,"AAAAAF/v7ps=")</f>
        <v>#REF!</v>
      </c>
      <c r="FA75" t="e">
        <f>AND(#REF!,"AAAAAF/v7pw=")</f>
        <v>#REF!</v>
      </c>
      <c r="FB75" t="e">
        <f>AND(#REF!,"AAAAAF/v7p0=")</f>
        <v>#REF!</v>
      </c>
      <c r="FC75" t="e">
        <f>AND(#REF!,"AAAAAF/v7p4=")</f>
        <v>#REF!</v>
      </c>
      <c r="FD75" t="e">
        <f>AND(#REF!,"AAAAAF/v7p8=")</f>
        <v>#REF!</v>
      </c>
      <c r="FE75" t="e">
        <f>AND(#REF!,"AAAAAF/v7qA=")</f>
        <v>#REF!</v>
      </c>
      <c r="FF75" t="e">
        <f>AND(#REF!,"AAAAAF/v7qE=")</f>
        <v>#REF!</v>
      </c>
      <c r="FG75" t="e">
        <f>AND(#REF!,"AAAAAF/v7qI=")</f>
        <v>#REF!</v>
      </c>
      <c r="FH75" t="e">
        <f>AND(#REF!,"AAAAAF/v7qM=")</f>
        <v>#REF!</v>
      </c>
      <c r="FI75" t="e">
        <f>AND(#REF!,"AAAAAF/v7qQ=")</f>
        <v>#REF!</v>
      </c>
      <c r="FJ75" t="e">
        <f>AND(#REF!,"AAAAAF/v7qU=")</f>
        <v>#REF!</v>
      </c>
      <c r="FK75" t="e">
        <f>AND(#REF!,"AAAAAF/v7qY=")</f>
        <v>#REF!</v>
      </c>
      <c r="FL75" t="e">
        <f>AND(#REF!,"AAAAAF/v7qc=")</f>
        <v>#REF!</v>
      </c>
      <c r="FM75" t="e">
        <f>AND(#REF!,"AAAAAF/v7qg=")</f>
        <v>#REF!</v>
      </c>
      <c r="FN75" t="e">
        <f>AND(#REF!,"AAAAAF/v7qk=")</f>
        <v>#REF!</v>
      </c>
      <c r="FO75" t="e">
        <f>AND(#REF!,"AAAAAF/v7qo=")</f>
        <v>#REF!</v>
      </c>
      <c r="FP75" t="e">
        <f>AND(#REF!,"AAAAAF/v7qs=")</f>
        <v>#REF!</v>
      </c>
      <c r="FQ75" t="e">
        <f>AND(#REF!,"AAAAAF/v7qw=")</f>
        <v>#REF!</v>
      </c>
      <c r="FR75" t="e">
        <f>AND(#REF!,"AAAAAF/v7q0=")</f>
        <v>#REF!</v>
      </c>
      <c r="FS75" t="e">
        <f>AND(#REF!,"AAAAAF/v7q4=")</f>
        <v>#REF!</v>
      </c>
      <c r="FT75" t="e">
        <f>AND(#REF!,"AAAAAF/v7q8=")</f>
        <v>#REF!</v>
      </c>
      <c r="FU75" t="e">
        <f>AND(#REF!,"AAAAAF/v7rA=")</f>
        <v>#REF!</v>
      </c>
      <c r="FV75" t="e">
        <f>AND(#REF!,"AAAAAF/v7rE=")</f>
        <v>#REF!</v>
      </c>
      <c r="FW75" t="e">
        <f>IF(#REF!,"AAAAAF/v7rI=",0)</f>
        <v>#REF!</v>
      </c>
      <c r="FX75" t="e">
        <f>AND(#REF!,"AAAAAF/v7rM=")</f>
        <v>#REF!</v>
      </c>
      <c r="FY75" t="e">
        <f>AND(#REF!,"AAAAAF/v7rQ=")</f>
        <v>#REF!</v>
      </c>
      <c r="FZ75" t="e">
        <f>AND(#REF!,"AAAAAF/v7rU=")</f>
        <v>#REF!</v>
      </c>
      <c r="GA75" t="e">
        <f>AND(#REF!,"AAAAAF/v7rY=")</f>
        <v>#REF!</v>
      </c>
      <c r="GB75" t="e">
        <f>AND(#REF!,"AAAAAF/v7rc=")</f>
        <v>#REF!</v>
      </c>
      <c r="GC75" t="e">
        <f>AND(#REF!,"AAAAAF/v7rg=")</f>
        <v>#REF!</v>
      </c>
      <c r="GD75" t="e">
        <f>AND(#REF!,"AAAAAF/v7rk=")</f>
        <v>#REF!</v>
      </c>
      <c r="GE75" t="e">
        <f>AND(#REF!,"AAAAAF/v7ro=")</f>
        <v>#REF!</v>
      </c>
      <c r="GF75" t="e">
        <f>AND(#REF!,"AAAAAF/v7rs=")</f>
        <v>#REF!</v>
      </c>
      <c r="GG75" t="e">
        <f>AND(#REF!,"AAAAAF/v7rw=")</f>
        <v>#REF!</v>
      </c>
      <c r="GH75" t="e">
        <f>AND(#REF!,"AAAAAF/v7r0=")</f>
        <v>#REF!</v>
      </c>
      <c r="GI75" t="e">
        <f>AND(#REF!,"AAAAAF/v7r4=")</f>
        <v>#REF!</v>
      </c>
      <c r="GJ75" t="e">
        <f>AND(#REF!,"AAAAAF/v7r8=")</f>
        <v>#REF!</v>
      </c>
      <c r="GK75" t="e">
        <f>AND(#REF!,"AAAAAF/v7sA=")</f>
        <v>#REF!</v>
      </c>
      <c r="GL75" t="e">
        <f>AND(#REF!,"AAAAAF/v7sE=")</f>
        <v>#REF!</v>
      </c>
      <c r="GM75" t="e">
        <f>AND(#REF!,"AAAAAF/v7sI=")</f>
        <v>#REF!</v>
      </c>
      <c r="GN75" t="e">
        <f>AND(#REF!,"AAAAAF/v7sM=")</f>
        <v>#REF!</v>
      </c>
      <c r="GO75" t="e">
        <f>AND(#REF!,"AAAAAF/v7sQ=")</f>
        <v>#REF!</v>
      </c>
      <c r="GP75" t="e">
        <f>AND(#REF!,"AAAAAF/v7sU=")</f>
        <v>#REF!</v>
      </c>
      <c r="GQ75" t="e">
        <f>AND(#REF!,"AAAAAF/v7sY=")</f>
        <v>#REF!</v>
      </c>
      <c r="GR75" t="e">
        <f>AND(#REF!,"AAAAAF/v7sc=")</f>
        <v>#REF!</v>
      </c>
      <c r="GS75" t="e">
        <f>AND(#REF!,"AAAAAF/v7sg=")</f>
        <v>#REF!</v>
      </c>
      <c r="GT75" t="e">
        <f>AND(#REF!,"AAAAAF/v7sk=")</f>
        <v>#REF!</v>
      </c>
      <c r="GU75" t="e">
        <f>AND(#REF!,"AAAAAF/v7so=")</f>
        <v>#REF!</v>
      </c>
      <c r="GV75" t="e">
        <f>AND(#REF!,"AAAAAF/v7ss=")</f>
        <v>#REF!</v>
      </c>
      <c r="GW75" t="e">
        <f>AND(#REF!,"AAAAAF/v7sw=")</f>
        <v>#REF!</v>
      </c>
      <c r="GX75" t="e">
        <f>AND(#REF!,"AAAAAF/v7s0=")</f>
        <v>#REF!</v>
      </c>
      <c r="GY75" t="e">
        <f>AND(#REF!,"AAAAAF/v7s4=")</f>
        <v>#REF!</v>
      </c>
      <c r="GZ75" t="e">
        <f>AND(#REF!,"AAAAAF/v7s8=")</f>
        <v>#REF!</v>
      </c>
      <c r="HA75" t="e">
        <f>IF(#REF!,"AAAAAF/v7tA=",0)</f>
        <v>#REF!</v>
      </c>
      <c r="HB75" t="e">
        <f>AND(#REF!,"AAAAAF/v7tE=")</f>
        <v>#REF!</v>
      </c>
      <c r="HC75" t="e">
        <f>AND(#REF!,"AAAAAF/v7tI=")</f>
        <v>#REF!</v>
      </c>
      <c r="HD75" t="e">
        <f>AND(#REF!,"AAAAAF/v7tM=")</f>
        <v>#REF!</v>
      </c>
      <c r="HE75" t="e">
        <f>AND(#REF!,"AAAAAF/v7tQ=")</f>
        <v>#REF!</v>
      </c>
      <c r="HF75" t="e">
        <f>AND(#REF!,"AAAAAF/v7tU=")</f>
        <v>#REF!</v>
      </c>
      <c r="HG75" t="e">
        <f>AND(#REF!,"AAAAAF/v7tY=")</f>
        <v>#REF!</v>
      </c>
      <c r="HH75" t="e">
        <f>AND(#REF!,"AAAAAF/v7tc=")</f>
        <v>#REF!</v>
      </c>
      <c r="HI75" t="e">
        <f>AND(#REF!,"AAAAAF/v7tg=")</f>
        <v>#REF!</v>
      </c>
      <c r="HJ75" t="e">
        <f>AND(#REF!,"AAAAAF/v7tk=")</f>
        <v>#REF!</v>
      </c>
      <c r="HK75" t="e">
        <f>AND(#REF!,"AAAAAF/v7to=")</f>
        <v>#REF!</v>
      </c>
      <c r="HL75" t="e">
        <f>AND(#REF!,"AAAAAF/v7ts=")</f>
        <v>#REF!</v>
      </c>
      <c r="HM75" t="e">
        <f>AND(#REF!,"AAAAAF/v7tw=")</f>
        <v>#REF!</v>
      </c>
      <c r="HN75" t="e">
        <f>AND(#REF!,"AAAAAF/v7t0=")</f>
        <v>#REF!</v>
      </c>
      <c r="HO75" t="e">
        <f>AND(#REF!,"AAAAAF/v7t4=")</f>
        <v>#REF!</v>
      </c>
      <c r="HP75" t="e">
        <f>AND(#REF!,"AAAAAF/v7t8=")</f>
        <v>#REF!</v>
      </c>
      <c r="HQ75" t="e">
        <f>AND(#REF!,"AAAAAF/v7uA=")</f>
        <v>#REF!</v>
      </c>
      <c r="HR75" t="e">
        <f>AND(#REF!,"AAAAAF/v7uE=")</f>
        <v>#REF!</v>
      </c>
      <c r="HS75" t="e">
        <f>AND(#REF!,"AAAAAF/v7uI=")</f>
        <v>#REF!</v>
      </c>
      <c r="HT75" t="e">
        <f>AND(#REF!,"AAAAAF/v7uM=")</f>
        <v>#REF!</v>
      </c>
      <c r="HU75" t="e">
        <f>AND(#REF!,"AAAAAF/v7uQ=")</f>
        <v>#REF!</v>
      </c>
      <c r="HV75" t="e">
        <f>AND(#REF!,"AAAAAF/v7uU=")</f>
        <v>#REF!</v>
      </c>
      <c r="HW75" t="e">
        <f>AND(#REF!,"AAAAAF/v7uY=")</f>
        <v>#REF!</v>
      </c>
      <c r="HX75" t="e">
        <f>AND(#REF!,"AAAAAF/v7uc=")</f>
        <v>#REF!</v>
      </c>
      <c r="HY75" t="e">
        <f>AND(#REF!,"AAAAAF/v7ug=")</f>
        <v>#REF!</v>
      </c>
      <c r="HZ75" t="e">
        <f>AND(#REF!,"AAAAAF/v7uk=")</f>
        <v>#REF!</v>
      </c>
      <c r="IA75" t="e">
        <f>AND(#REF!,"AAAAAF/v7uo=")</f>
        <v>#REF!</v>
      </c>
      <c r="IB75" t="e">
        <f>AND(#REF!,"AAAAAF/v7us=")</f>
        <v>#REF!</v>
      </c>
      <c r="IC75" t="e">
        <f>AND(#REF!,"AAAAAF/v7uw=")</f>
        <v>#REF!</v>
      </c>
      <c r="ID75" t="e">
        <f>AND(#REF!,"AAAAAF/v7u0=")</f>
        <v>#REF!</v>
      </c>
      <c r="IE75" t="e">
        <f>IF(#REF!,"AAAAAF/v7u4=",0)</f>
        <v>#REF!</v>
      </c>
      <c r="IF75" t="e">
        <f>AND(#REF!,"AAAAAF/v7u8=")</f>
        <v>#REF!</v>
      </c>
      <c r="IG75" t="e">
        <f>AND(#REF!,"AAAAAF/v7vA=")</f>
        <v>#REF!</v>
      </c>
      <c r="IH75" t="e">
        <f>AND(#REF!,"AAAAAF/v7vE=")</f>
        <v>#REF!</v>
      </c>
      <c r="II75" t="e">
        <f>AND(#REF!,"AAAAAF/v7vI=")</f>
        <v>#REF!</v>
      </c>
      <c r="IJ75" t="e">
        <f>AND(#REF!,"AAAAAF/v7vM=")</f>
        <v>#REF!</v>
      </c>
      <c r="IK75" t="e">
        <f>AND(#REF!,"AAAAAF/v7vQ=")</f>
        <v>#REF!</v>
      </c>
      <c r="IL75" t="e">
        <f>AND(#REF!,"AAAAAF/v7vU=")</f>
        <v>#REF!</v>
      </c>
      <c r="IM75" t="e">
        <f>AND(#REF!,"AAAAAF/v7vY=")</f>
        <v>#REF!</v>
      </c>
      <c r="IN75" t="e">
        <f>AND(#REF!,"AAAAAF/v7vc=")</f>
        <v>#REF!</v>
      </c>
      <c r="IO75" t="e">
        <f>AND(#REF!,"AAAAAF/v7vg=")</f>
        <v>#REF!</v>
      </c>
      <c r="IP75" t="e">
        <f>AND(#REF!,"AAAAAF/v7vk=")</f>
        <v>#REF!</v>
      </c>
      <c r="IQ75" t="e">
        <f>AND(#REF!,"AAAAAF/v7vo=")</f>
        <v>#REF!</v>
      </c>
      <c r="IR75" t="e">
        <f>AND(#REF!,"AAAAAF/v7vs=")</f>
        <v>#REF!</v>
      </c>
      <c r="IS75" t="e">
        <f>AND(#REF!,"AAAAAF/v7vw=")</f>
        <v>#REF!</v>
      </c>
      <c r="IT75" t="e">
        <f>AND(#REF!,"AAAAAF/v7v0=")</f>
        <v>#REF!</v>
      </c>
      <c r="IU75" t="e">
        <f>AND(#REF!,"AAAAAF/v7v4=")</f>
        <v>#REF!</v>
      </c>
      <c r="IV75" t="e">
        <f>AND(#REF!,"AAAAAF/v7v8=")</f>
        <v>#REF!</v>
      </c>
    </row>
    <row r="76" spans="1:256">
      <c r="A76" t="e">
        <f>AND(#REF!,"AAAAAHHw7wA=")</f>
        <v>#REF!</v>
      </c>
      <c r="B76" t="e">
        <f>AND(#REF!,"AAAAAHHw7wE=")</f>
        <v>#REF!</v>
      </c>
      <c r="C76" t="e">
        <f>AND(#REF!,"AAAAAHHw7wI=")</f>
        <v>#REF!</v>
      </c>
      <c r="D76" t="e">
        <f>AND(#REF!,"AAAAAHHw7wM=")</f>
        <v>#REF!</v>
      </c>
      <c r="E76" t="e">
        <f>AND(#REF!,"AAAAAHHw7wQ=")</f>
        <v>#REF!</v>
      </c>
      <c r="F76" t="e">
        <f>AND(#REF!,"AAAAAHHw7wU=")</f>
        <v>#REF!</v>
      </c>
      <c r="G76" t="e">
        <f>AND(#REF!,"AAAAAHHw7wY=")</f>
        <v>#REF!</v>
      </c>
      <c r="H76" t="e">
        <f>AND(#REF!,"AAAAAHHw7wc=")</f>
        <v>#REF!</v>
      </c>
      <c r="I76" t="e">
        <f>AND(#REF!,"AAAAAHHw7wg=")</f>
        <v>#REF!</v>
      </c>
      <c r="J76" t="e">
        <f>AND(#REF!,"AAAAAHHw7wk=")</f>
        <v>#REF!</v>
      </c>
      <c r="K76" t="e">
        <f>AND(#REF!,"AAAAAHHw7wo=")</f>
        <v>#REF!</v>
      </c>
      <c r="L76" t="e">
        <f>AND(#REF!,"AAAAAHHw7ws=")</f>
        <v>#REF!</v>
      </c>
      <c r="M76" t="e">
        <f>IF(#REF!,"AAAAAHHw7ww=",0)</f>
        <v>#REF!</v>
      </c>
      <c r="N76" t="e">
        <f>AND(#REF!,"AAAAAHHw7w0=")</f>
        <v>#REF!</v>
      </c>
      <c r="O76" t="e">
        <f>AND(#REF!,"AAAAAHHw7w4=")</f>
        <v>#REF!</v>
      </c>
      <c r="P76" t="e">
        <f>AND(#REF!,"AAAAAHHw7w8=")</f>
        <v>#REF!</v>
      </c>
      <c r="Q76" t="e">
        <f>AND(#REF!,"AAAAAHHw7xA=")</f>
        <v>#REF!</v>
      </c>
      <c r="R76" t="e">
        <f>AND(#REF!,"AAAAAHHw7xE=")</f>
        <v>#REF!</v>
      </c>
      <c r="S76" t="e">
        <f>AND(#REF!,"AAAAAHHw7xI=")</f>
        <v>#REF!</v>
      </c>
      <c r="T76" t="e">
        <f>AND(#REF!,"AAAAAHHw7xM=")</f>
        <v>#REF!</v>
      </c>
      <c r="U76" t="e">
        <f>AND(#REF!,"AAAAAHHw7xQ=")</f>
        <v>#REF!</v>
      </c>
      <c r="V76" t="e">
        <f>AND(#REF!,"AAAAAHHw7xU=")</f>
        <v>#REF!</v>
      </c>
      <c r="W76" t="e">
        <f>AND(#REF!,"AAAAAHHw7xY=")</f>
        <v>#REF!</v>
      </c>
      <c r="X76" t="e">
        <f>AND(#REF!,"AAAAAHHw7xc=")</f>
        <v>#REF!</v>
      </c>
      <c r="Y76" t="e">
        <f>AND(#REF!,"AAAAAHHw7xg=")</f>
        <v>#REF!</v>
      </c>
      <c r="Z76" t="e">
        <f>AND(#REF!,"AAAAAHHw7xk=")</f>
        <v>#REF!</v>
      </c>
      <c r="AA76" t="e">
        <f>AND(#REF!,"AAAAAHHw7xo=")</f>
        <v>#REF!</v>
      </c>
      <c r="AB76" t="e">
        <f>AND(#REF!,"AAAAAHHw7xs=")</f>
        <v>#REF!</v>
      </c>
      <c r="AC76" t="e">
        <f>AND(#REF!,"AAAAAHHw7xw=")</f>
        <v>#REF!</v>
      </c>
      <c r="AD76" t="e">
        <f>AND(#REF!,"AAAAAHHw7x0=")</f>
        <v>#REF!</v>
      </c>
      <c r="AE76" t="e">
        <f>AND(#REF!,"AAAAAHHw7x4=")</f>
        <v>#REF!</v>
      </c>
      <c r="AF76" t="e">
        <f>AND(#REF!,"AAAAAHHw7x8=")</f>
        <v>#REF!</v>
      </c>
      <c r="AG76" t="e">
        <f>AND(#REF!,"AAAAAHHw7yA=")</f>
        <v>#REF!</v>
      </c>
      <c r="AH76" t="e">
        <f>AND(#REF!,"AAAAAHHw7yE=")</f>
        <v>#REF!</v>
      </c>
      <c r="AI76" t="e">
        <f>AND(#REF!,"AAAAAHHw7yI=")</f>
        <v>#REF!</v>
      </c>
      <c r="AJ76" t="e">
        <f>AND(#REF!,"AAAAAHHw7yM=")</f>
        <v>#REF!</v>
      </c>
      <c r="AK76" t="e">
        <f>AND(#REF!,"AAAAAHHw7yQ=")</f>
        <v>#REF!</v>
      </c>
      <c r="AL76" t="e">
        <f>AND(#REF!,"AAAAAHHw7yU=")</f>
        <v>#REF!</v>
      </c>
      <c r="AM76" t="e">
        <f>AND(#REF!,"AAAAAHHw7yY=")</f>
        <v>#REF!</v>
      </c>
      <c r="AN76" t="e">
        <f>AND(#REF!,"AAAAAHHw7yc=")</f>
        <v>#REF!</v>
      </c>
      <c r="AO76" t="e">
        <f>AND(#REF!,"AAAAAHHw7yg=")</f>
        <v>#REF!</v>
      </c>
      <c r="AP76" t="e">
        <f>AND(#REF!,"AAAAAHHw7yk=")</f>
        <v>#REF!</v>
      </c>
      <c r="AQ76" t="e">
        <f>IF(#REF!,"AAAAAHHw7yo=",0)</f>
        <v>#REF!</v>
      </c>
      <c r="AR76" t="e">
        <f>AND(#REF!,"AAAAAHHw7ys=")</f>
        <v>#REF!</v>
      </c>
      <c r="AS76" t="e">
        <f>AND(#REF!,"AAAAAHHw7yw=")</f>
        <v>#REF!</v>
      </c>
      <c r="AT76" t="e">
        <f>AND(#REF!,"AAAAAHHw7y0=")</f>
        <v>#REF!</v>
      </c>
      <c r="AU76" t="e">
        <f>AND(#REF!,"AAAAAHHw7y4=")</f>
        <v>#REF!</v>
      </c>
      <c r="AV76" t="e">
        <f>AND(#REF!,"AAAAAHHw7y8=")</f>
        <v>#REF!</v>
      </c>
      <c r="AW76" t="e">
        <f>AND(#REF!,"AAAAAHHw7zA=")</f>
        <v>#REF!</v>
      </c>
      <c r="AX76" t="e">
        <f>AND(#REF!,"AAAAAHHw7zE=")</f>
        <v>#REF!</v>
      </c>
      <c r="AY76" t="e">
        <f>AND(#REF!,"AAAAAHHw7zI=")</f>
        <v>#REF!</v>
      </c>
      <c r="AZ76" t="e">
        <f>AND(#REF!,"AAAAAHHw7zM=")</f>
        <v>#REF!</v>
      </c>
      <c r="BA76" t="e">
        <f>AND(#REF!,"AAAAAHHw7zQ=")</f>
        <v>#REF!</v>
      </c>
      <c r="BB76" t="e">
        <f>AND(#REF!,"AAAAAHHw7zU=")</f>
        <v>#REF!</v>
      </c>
      <c r="BC76" t="e">
        <f>AND(#REF!,"AAAAAHHw7zY=")</f>
        <v>#REF!</v>
      </c>
      <c r="BD76" t="e">
        <f>AND(#REF!,"AAAAAHHw7zc=")</f>
        <v>#REF!</v>
      </c>
      <c r="BE76" t="e">
        <f>AND(#REF!,"AAAAAHHw7zg=")</f>
        <v>#REF!</v>
      </c>
      <c r="BF76" t="e">
        <f>AND(#REF!,"AAAAAHHw7zk=")</f>
        <v>#REF!</v>
      </c>
      <c r="BG76" t="e">
        <f>AND(#REF!,"AAAAAHHw7zo=")</f>
        <v>#REF!</v>
      </c>
      <c r="BH76" t="e">
        <f>AND(#REF!,"AAAAAHHw7zs=")</f>
        <v>#REF!</v>
      </c>
      <c r="BI76" t="e">
        <f>AND(#REF!,"AAAAAHHw7zw=")</f>
        <v>#REF!</v>
      </c>
      <c r="BJ76" t="e">
        <f>AND(#REF!,"AAAAAHHw7z0=")</f>
        <v>#REF!</v>
      </c>
      <c r="BK76" t="e">
        <f>AND(#REF!,"AAAAAHHw7z4=")</f>
        <v>#REF!</v>
      </c>
      <c r="BL76" t="e">
        <f>AND(#REF!,"AAAAAHHw7z8=")</f>
        <v>#REF!</v>
      </c>
      <c r="BM76" t="e">
        <f>AND(#REF!,"AAAAAHHw70A=")</f>
        <v>#REF!</v>
      </c>
      <c r="BN76" t="e">
        <f>AND(#REF!,"AAAAAHHw70E=")</f>
        <v>#REF!</v>
      </c>
      <c r="BO76" t="e">
        <f>AND(#REF!,"AAAAAHHw70I=")</f>
        <v>#REF!</v>
      </c>
      <c r="BP76" t="e">
        <f>AND(#REF!,"AAAAAHHw70M=")</f>
        <v>#REF!</v>
      </c>
      <c r="BQ76" t="e">
        <f>AND(#REF!,"AAAAAHHw70Q=")</f>
        <v>#REF!</v>
      </c>
      <c r="BR76" t="e">
        <f>AND(#REF!,"AAAAAHHw70U=")</f>
        <v>#REF!</v>
      </c>
      <c r="BS76" t="e">
        <f>AND(#REF!,"AAAAAHHw70Y=")</f>
        <v>#REF!</v>
      </c>
      <c r="BT76" t="e">
        <f>AND(#REF!,"AAAAAHHw70c=")</f>
        <v>#REF!</v>
      </c>
      <c r="BU76" t="e">
        <f>IF(#REF!,"AAAAAHHw70g=",0)</f>
        <v>#REF!</v>
      </c>
      <c r="BV76" t="e">
        <f>AND(#REF!,"AAAAAHHw70k=")</f>
        <v>#REF!</v>
      </c>
      <c r="BW76" t="e">
        <f>AND(#REF!,"AAAAAHHw70o=")</f>
        <v>#REF!</v>
      </c>
      <c r="BX76" t="e">
        <f>AND(#REF!,"AAAAAHHw70s=")</f>
        <v>#REF!</v>
      </c>
      <c r="BY76" t="e">
        <f>AND(#REF!,"AAAAAHHw70w=")</f>
        <v>#REF!</v>
      </c>
      <c r="BZ76" t="e">
        <f>AND(#REF!,"AAAAAHHw700=")</f>
        <v>#REF!</v>
      </c>
      <c r="CA76" t="e">
        <f>AND(#REF!,"AAAAAHHw704=")</f>
        <v>#REF!</v>
      </c>
      <c r="CB76" t="e">
        <f>AND(#REF!,"AAAAAHHw708=")</f>
        <v>#REF!</v>
      </c>
      <c r="CC76" t="e">
        <f>AND(#REF!,"AAAAAHHw71A=")</f>
        <v>#REF!</v>
      </c>
      <c r="CD76" t="e">
        <f>AND(#REF!,"AAAAAHHw71E=")</f>
        <v>#REF!</v>
      </c>
      <c r="CE76" t="e">
        <f>AND(#REF!,"AAAAAHHw71I=")</f>
        <v>#REF!</v>
      </c>
      <c r="CF76" t="e">
        <f>AND(#REF!,"AAAAAHHw71M=")</f>
        <v>#REF!</v>
      </c>
      <c r="CG76" t="e">
        <f>AND(#REF!,"AAAAAHHw71Q=")</f>
        <v>#REF!</v>
      </c>
      <c r="CH76" t="e">
        <f>AND(#REF!,"AAAAAHHw71U=")</f>
        <v>#REF!</v>
      </c>
      <c r="CI76" t="e">
        <f>AND(#REF!,"AAAAAHHw71Y=")</f>
        <v>#REF!</v>
      </c>
      <c r="CJ76" t="e">
        <f>AND(#REF!,"AAAAAHHw71c=")</f>
        <v>#REF!</v>
      </c>
      <c r="CK76" t="e">
        <f>AND(#REF!,"AAAAAHHw71g=")</f>
        <v>#REF!</v>
      </c>
      <c r="CL76" t="e">
        <f>AND(#REF!,"AAAAAHHw71k=")</f>
        <v>#REF!</v>
      </c>
      <c r="CM76" t="e">
        <f>AND(#REF!,"AAAAAHHw71o=")</f>
        <v>#REF!</v>
      </c>
      <c r="CN76" t="e">
        <f>AND(#REF!,"AAAAAHHw71s=")</f>
        <v>#REF!</v>
      </c>
      <c r="CO76" t="e">
        <f>AND(#REF!,"AAAAAHHw71w=")</f>
        <v>#REF!</v>
      </c>
      <c r="CP76" t="e">
        <f>AND(#REF!,"AAAAAHHw710=")</f>
        <v>#REF!</v>
      </c>
      <c r="CQ76" t="e">
        <f>AND(#REF!,"AAAAAHHw714=")</f>
        <v>#REF!</v>
      </c>
      <c r="CR76" t="e">
        <f>AND(#REF!,"AAAAAHHw718=")</f>
        <v>#REF!</v>
      </c>
      <c r="CS76" t="e">
        <f>AND(#REF!,"AAAAAHHw72A=")</f>
        <v>#REF!</v>
      </c>
      <c r="CT76" t="e">
        <f>AND(#REF!,"AAAAAHHw72E=")</f>
        <v>#REF!</v>
      </c>
      <c r="CU76" t="e">
        <f>AND(#REF!,"AAAAAHHw72I=")</f>
        <v>#REF!</v>
      </c>
      <c r="CV76" t="e">
        <f>AND(#REF!,"AAAAAHHw72M=")</f>
        <v>#REF!</v>
      </c>
      <c r="CW76" t="e">
        <f>AND(#REF!,"AAAAAHHw72Q=")</f>
        <v>#REF!</v>
      </c>
      <c r="CX76" t="e">
        <f>AND(#REF!,"AAAAAHHw72U=")</f>
        <v>#REF!</v>
      </c>
      <c r="CY76" t="e">
        <f>IF(#REF!,"AAAAAHHw72Y=",0)</f>
        <v>#REF!</v>
      </c>
      <c r="CZ76" t="e">
        <f>AND(#REF!,"AAAAAHHw72c=")</f>
        <v>#REF!</v>
      </c>
      <c r="DA76" t="e">
        <f>AND(#REF!,"AAAAAHHw72g=")</f>
        <v>#REF!</v>
      </c>
      <c r="DB76" t="e">
        <f>AND(#REF!,"AAAAAHHw72k=")</f>
        <v>#REF!</v>
      </c>
      <c r="DC76" t="e">
        <f>AND(#REF!,"AAAAAHHw72o=")</f>
        <v>#REF!</v>
      </c>
      <c r="DD76" t="e">
        <f>AND(#REF!,"AAAAAHHw72s=")</f>
        <v>#REF!</v>
      </c>
      <c r="DE76" t="e">
        <f>AND(#REF!,"AAAAAHHw72w=")</f>
        <v>#REF!</v>
      </c>
      <c r="DF76" t="e">
        <f>AND(#REF!,"AAAAAHHw720=")</f>
        <v>#REF!</v>
      </c>
      <c r="DG76" t="e">
        <f>AND(#REF!,"AAAAAHHw724=")</f>
        <v>#REF!</v>
      </c>
      <c r="DH76" t="e">
        <f>AND(#REF!,"AAAAAHHw728=")</f>
        <v>#REF!</v>
      </c>
      <c r="DI76" t="e">
        <f>AND(#REF!,"AAAAAHHw73A=")</f>
        <v>#REF!</v>
      </c>
      <c r="DJ76" t="e">
        <f>AND(#REF!,"AAAAAHHw73E=")</f>
        <v>#REF!</v>
      </c>
      <c r="DK76" t="e">
        <f>AND(#REF!,"AAAAAHHw73I=")</f>
        <v>#REF!</v>
      </c>
      <c r="DL76" t="e">
        <f>AND(#REF!,"AAAAAHHw73M=")</f>
        <v>#REF!</v>
      </c>
      <c r="DM76" t="e">
        <f>AND(#REF!,"AAAAAHHw73Q=")</f>
        <v>#REF!</v>
      </c>
      <c r="DN76" t="e">
        <f>AND(#REF!,"AAAAAHHw73U=")</f>
        <v>#REF!</v>
      </c>
      <c r="DO76" t="e">
        <f>AND(#REF!,"AAAAAHHw73Y=")</f>
        <v>#REF!</v>
      </c>
      <c r="DP76" t="e">
        <f>AND(#REF!,"AAAAAHHw73c=")</f>
        <v>#REF!</v>
      </c>
      <c r="DQ76" t="e">
        <f>AND(#REF!,"AAAAAHHw73g=")</f>
        <v>#REF!</v>
      </c>
      <c r="DR76" t="e">
        <f>AND(#REF!,"AAAAAHHw73k=")</f>
        <v>#REF!</v>
      </c>
      <c r="DS76" t="e">
        <f>AND(#REF!,"AAAAAHHw73o=")</f>
        <v>#REF!</v>
      </c>
      <c r="DT76" t="e">
        <f>AND(#REF!,"AAAAAHHw73s=")</f>
        <v>#REF!</v>
      </c>
      <c r="DU76" t="e">
        <f>AND(#REF!,"AAAAAHHw73w=")</f>
        <v>#REF!</v>
      </c>
      <c r="DV76" t="e">
        <f>AND(#REF!,"AAAAAHHw730=")</f>
        <v>#REF!</v>
      </c>
      <c r="DW76" t="e">
        <f>AND(#REF!,"AAAAAHHw734=")</f>
        <v>#REF!</v>
      </c>
      <c r="DX76" t="e">
        <f>AND(#REF!,"AAAAAHHw738=")</f>
        <v>#REF!</v>
      </c>
      <c r="DY76" t="e">
        <f>AND(#REF!,"AAAAAHHw74A=")</f>
        <v>#REF!</v>
      </c>
      <c r="DZ76" t="e">
        <f>AND(#REF!,"AAAAAHHw74E=")</f>
        <v>#REF!</v>
      </c>
      <c r="EA76" t="e">
        <f>AND(#REF!,"AAAAAHHw74I=")</f>
        <v>#REF!</v>
      </c>
      <c r="EB76" t="e">
        <f>AND(#REF!,"AAAAAHHw74M=")</f>
        <v>#REF!</v>
      </c>
      <c r="EC76" t="e">
        <f>IF(#REF!,"AAAAAHHw74Q=",0)</f>
        <v>#REF!</v>
      </c>
      <c r="ED76" t="e">
        <f>AND(#REF!,"AAAAAHHw74U=")</f>
        <v>#REF!</v>
      </c>
      <c r="EE76" t="e">
        <f>AND(#REF!,"AAAAAHHw74Y=")</f>
        <v>#REF!</v>
      </c>
      <c r="EF76" t="e">
        <f>AND(#REF!,"AAAAAHHw74c=")</f>
        <v>#REF!</v>
      </c>
      <c r="EG76" t="e">
        <f>AND(#REF!,"AAAAAHHw74g=")</f>
        <v>#REF!</v>
      </c>
      <c r="EH76" t="e">
        <f>AND(#REF!,"AAAAAHHw74k=")</f>
        <v>#REF!</v>
      </c>
      <c r="EI76" t="e">
        <f>AND(#REF!,"AAAAAHHw74o=")</f>
        <v>#REF!</v>
      </c>
      <c r="EJ76" t="e">
        <f>AND(#REF!,"AAAAAHHw74s=")</f>
        <v>#REF!</v>
      </c>
      <c r="EK76" t="e">
        <f>AND(#REF!,"AAAAAHHw74w=")</f>
        <v>#REF!</v>
      </c>
      <c r="EL76" t="e">
        <f>AND(#REF!,"AAAAAHHw740=")</f>
        <v>#REF!</v>
      </c>
      <c r="EM76" t="e">
        <f>AND(#REF!,"AAAAAHHw744=")</f>
        <v>#REF!</v>
      </c>
      <c r="EN76" t="e">
        <f>AND(#REF!,"AAAAAHHw748=")</f>
        <v>#REF!</v>
      </c>
      <c r="EO76" t="e">
        <f>AND(#REF!,"AAAAAHHw75A=")</f>
        <v>#REF!</v>
      </c>
      <c r="EP76" t="e">
        <f>AND(#REF!,"AAAAAHHw75E=")</f>
        <v>#REF!</v>
      </c>
      <c r="EQ76" t="e">
        <f>AND(#REF!,"AAAAAHHw75I=")</f>
        <v>#REF!</v>
      </c>
      <c r="ER76" t="e">
        <f>AND(#REF!,"AAAAAHHw75M=")</f>
        <v>#REF!</v>
      </c>
      <c r="ES76" t="e">
        <f>AND(#REF!,"AAAAAHHw75Q=")</f>
        <v>#REF!</v>
      </c>
      <c r="ET76" t="e">
        <f>AND(#REF!,"AAAAAHHw75U=")</f>
        <v>#REF!</v>
      </c>
      <c r="EU76" t="e">
        <f>AND(#REF!,"AAAAAHHw75Y=")</f>
        <v>#REF!</v>
      </c>
      <c r="EV76" t="e">
        <f>AND(#REF!,"AAAAAHHw75c=")</f>
        <v>#REF!</v>
      </c>
      <c r="EW76" t="e">
        <f>AND(#REF!,"AAAAAHHw75g=")</f>
        <v>#REF!</v>
      </c>
      <c r="EX76" t="e">
        <f>AND(#REF!,"AAAAAHHw75k=")</f>
        <v>#REF!</v>
      </c>
      <c r="EY76" t="e">
        <f>AND(#REF!,"AAAAAHHw75o=")</f>
        <v>#REF!</v>
      </c>
      <c r="EZ76" t="e">
        <f>AND(#REF!,"AAAAAHHw75s=")</f>
        <v>#REF!</v>
      </c>
      <c r="FA76" t="e">
        <f>AND(#REF!,"AAAAAHHw75w=")</f>
        <v>#REF!</v>
      </c>
      <c r="FB76" t="e">
        <f>AND(#REF!,"AAAAAHHw750=")</f>
        <v>#REF!</v>
      </c>
      <c r="FC76" t="e">
        <f>AND(#REF!,"AAAAAHHw754=")</f>
        <v>#REF!</v>
      </c>
      <c r="FD76" t="e">
        <f>AND(#REF!,"AAAAAHHw758=")</f>
        <v>#REF!</v>
      </c>
      <c r="FE76" t="e">
        <f>AND(#REF!,"AAAAAHHw76A=")</f>
        <v>#REF!</v>
      </c>
      <c r="FF76" t="e">
        <f>AND(#REF!,"AAAAAHHw76E=")</f>
        <v>#REF!</v>
      </c>
      <c r="FG76" t="e">
        <f>IF(#REF!,"AAAAAHHw76I=",0)</f>
        <v>#REF!</v>
      </c>
      <c r="FH76" t="e">
        <f>AND(#REF!,"AAAAAHHw76M=")</f>
        <v>#REF!</v>
      </c>
      <c r="FI76" t="e">
        <f>AND(#REF!,"AAAAAHHw76Q=")</f>
        <v>#REF!</v>
      </c>
      <c r="FJ76" t="e">
        <f>AND(#REF!,"AAAAAHHw76U=")</f>
        <v>#REF!</v>
      </c>
      <c r="FK76" t="e">
        <f>AND(#REF!,"AAAAAHHw76Y=")</f>
        <v>#REF!</v>
      </c>
      <c r="FL76" t="e">
        <f>AND(#REF!,"AAAAAHHw76c=")</f>
        <v>#REF!</v>
      </c>
      <c r="FM76" t="e">
        <f>AND(#REF!,"AAAAAHHw76g=")</f>
        <v>#REF!</v>
      </c>
      <c r="FN76" t="e">
        <f>AND(#REF!,"AAAAAHHw76k=")</f>
        <v>#REF!</v>
      </c>
      <c r="FO76" t="e">
        <f>AND(#REF!,"AAAAAHHw76o=")</f>
        <v>#REF!</v>
      </c>
      <c r="FP76" t="e">
        <f>AND(#REF!,"AAAAAHHw76s=")</f>
        <v>#REF!</v>
      </c>
      <c r="FQ76" t="e">
        <f>AND(#REF!,"AAAAAHHw76w=")</f>
        <v>#REF!</v>
      </c>
      <c r="FR76" t="e">
        <f>AND(#REF!,"AAAAAHHw760=")</f>
        <v>#REF!</v>
      </c>
      <c r="FS76" t="e">
        <f>AND(#REF!,"AAAAAHHw764=")</f>
        <v>#REF!</v>
      </c>
      <c r="FT76" t="e">
        <f>AND(#REF!,"AAAAAHHw768=")</f>
        <v>#REF!</v>
      </c>
      <c r="FU76" t="e">
        <f>AND(#REF!,"AAAAAHHw77A=")</f>
        <v>#REF!</v>
      </c>
      <c r="FV76" t="e">
        <f>AND(#REF!,"AAAAAHHw77E=")</f>
        <v>#REF!</v>
      </c>
      <c r="FW76" t="e">
        <f>AND(#REF!,"AAAAAHHw77I=")</f>
        <v>#REF!</v>
      </c>
      <c r="FX76" t="e">
        <f>AND(#REF!,"AAAAAHHw77M=")</f>
        <v>#REF!</v>
      </c>
      <c r="FY76" t="e">
        <f>AND(#REF!,"AAAAAHHw77Q=")</f>
        <v>#REF!</v>
      </c>
      <c r="FZ76" t="e">
        <f>AND(#REF!,"AAAAAHHw77U=")</f>
        <v>#REF!</v>
      </c>
      <c r="GA76" t="e">
        <f>AND(#REF!,"AAAAAHHw77Y=")</f>
        <v>#REF!</v>
      </c>
      <c r="GB76" t="e">
        <f>AND(#REF!,"AAAAAHHw77c=")</f>
        <v>#REF!</v>
      </c>
      <c r="GC76" t="e">
        <f>AND(#REF!,"AAAAAHHw77g=")</f>
        <v>#REF!</v>
      </c>
      <c r="GD76" t="e">
        <f>AND(#REF!,"AAAAAHHw77k=")</f>
        <v>#REF!</v>
      </c>
      <c r="GE76" t="e">
        <f>AND(#REF!,"AAAAAHHw77o=")</f>
        <v>#REF!</v>
      </c>
      <c r="GF76" t="e">
        <f>AND(#REF!,"AAAAAHHw77s=")</f>
        <v>#REF!</v>
      </c>
      <c r="GG76" t="e">
        <f>AND(#REF!,"AAAAAHHw77w=")</f>
        <v>#REF!</v>
      </c>
      <c r="GH76" t="e">
        <f>AND(#REF!,"AAAAAHHw770=")</f>
        <v>#REF!</v>
      </c>
      <c r="GI76" t="e">
        <f>AND(#REF!,"AAAAAHHw774=")</f>
        <v>#REF!</v>
      </c>
      <c r="GJ76" t="e">
        <f>AND(#REF!,"AAAAAHHw778=")</f>
        <v>#REF!</v>
      </c>
      <c r="GK76" t="e">
        <f>IF(#REF!,"AAAAAHHw78A=",0)</f>
        <v>#REF!</v>
      </c>
      <c r="GL76" t="e">
        <f>AND(#REF!,"AAAAAHHw78E=")</f>
        <v>#REF!</v>
      </c>
      <c r="GM76" t="e">
        <f>AND(#REF!,"AAAAAHHw78I=")</f>
        <v>#REF!</v>
      </c>
      <c r="GN76" t="e">
        <f>AND(#REF!,"AAAAAHHw78M=")</f>
        <v>#REF!</v>
      </c>
      <c r="GO76" t="e">
        <f>AND(#REF!,"AAAAAHHw78Q=")</f>
        <v>#REF!</v>
      </c>
      <c r="GP76" t="e">
        <f>AND(#REF!,"AAAAAHHw78U=")</f>
        <v>#REF!</v>
      </c>
      <c r="GQ76" t="e">
        <f>AND(#REF!,"AAAAAHHw78Y=")</f>
        <v>#REF!</v>
      </c>
      <c r="GR76" t="e">
        <f>AND(#REF!,"AAAAAHHw78c=")</f>
        <v>#REF!</v>
      </c>
      <c r="GS76" t="e">
        <f>AND(#REF!,"AAAAAHHw78g=")</f>
        <v>#REF!</v>
      </c>
      <c r="GT76" t="e">
        <f>AND(#REF!,"AAAAAHHw78k=")</f>
        <v>#REF!</v>
      </c>
      <c r="GU76" t="e">
        <f>AND(#REF!,"AAAAAHHw78o=")</f>
        <v>#REF!</v>
      </c>
      <c r="GV76" t="e">
        <f>AND(#REF!,"AAAAAHHw78s=")</f>
        <v>#REF!</v>
      </c>
      <c r="GW76" t="e">
        <f>AND(#REF!,"AAAAAHHw78w=")</f>
        <v>#REF!</v>
      </c>
      <c r="GX76" t="e">
        <f>AND(#REF!,"AAAAAHHw780=")</f>
        <v>#REF!</v>
      </c>
      <c r="GY76" t="e">
        <f>AND(#REF!,"AAAAAHHw784=")</f>
        <v>#REF!</v>
      </c>
      <c r="GZ76" t="e">
        <f>AND(#REF!,"AAAAAHHw788=")</f>
        <v>#REF!</v>
      </c>
      <c r="HA76" t="e">
        <f>AND(#REF!,"AAAAAHHw79A=")</f>
        <v>#REF!</v>
      </c>
      <c r="HB76" t="e">
        <f>AND(#REF!,"AAAAAHHw79E=")</f>
        <v>#REF!</v>
      </c>
      <c r="HC76" t="e">
        <f>AND(#REF!,"AAAAAHHw79I=")</f>
        <v>#REF!</v>
      </c>
      <c r="HD76" t="e">
        <f>AND(#REF!,"AAAAAHHw79M=")</f>
        <v>#REF!</v>
      </c>
      <c r="HE76" t="e">
        <f>AND(#REF!,"AAAAAHHw79Q=")</f>
        <v>#REF!</v>
      </c>
      <c r="HF76" t="e">
        <f>AND(#REF!,"AAAAAHHw79U=")</f>
        <v>#REF!</v>
      </c>
      <c r="HG76" t="e">
        <f>AND(#REF!,"AAAAAHHw79Y=")</f>
        <v>#REF!</v>
      </c>
      <c r="HH76" t="e">
        <f>AND(#REF!,"AAAAAHHw79c=")</f>
        <v>#REF!</v>
      </c>
      <c r="HI76" t="e">
        <f>AND(#REF!,"AAAAAHHw79g=")</f>
        <v>#REF!</v>
      </c>
      <c r="HJ76" t="e">
        <f>AND(#REF!,"AAAAAHHw79k=")</f>
        <v>#REF!</v>
      </c>
      <c r="HK76" t="e">
        <f>AND(#REF!,"AAAAAHHw79o=")</f>
        <v>#REF!</v>
      </c>
      <c r="HL76" t="e">
        <f>AND(#REF!,"AAAAAHHw79s=")</f>
        <v>#REF!</v>
      </c>
      <c r="HM76" t="e">
        <f>AND(#REF!,"AAAAAHHw79w=")</f>
        <v>#REF!</v>
      </c>
      <c r="HN76" t="e">
        <f>AND(#REF!,"AAAAAHHw790=")</f>
        <v>#REF!</v>
      </c>
      <c r="HO76" t="e">
        <f>IF(#REF!,"AAAAAHHw794=",0)</f>
        <v>#REF!</v>
      </c>
      <c r="HP76" t="e">
        <f>AND(#REF!,"AAAAAHHw798=")</f>
        <v>#REF!</v>
      </c>
      <c r="HQ76" t="e">
        <f>AND(#REF!,"AAAAAHHw7+A=")</f>
        <v>#REF!</v>
      </c>
      <c r="HR76" t="e">
        <f>AND(#REF!,"AAAAAHHw7+E=")</f>
        <v>#REF!</v>
      </c>
      <c r="HS76" t="e">
        <f>AND(#REF!,"AAAAAHHw7+I=")</f>
        <v>#REF!</v>
      </c>
      <c r="HT76" t="e">
        <f>AND(#REF!,"AAAAAHHw7+M=")</f>
        <v>#REF!</v>
      </c>
      <c r="HU76" t="e">
        <f>AND(#REF!,"AAAAAHHw7+Q=")</f>
        <v>#REF!</v>
      </c>
      <c r="HV76" t="e">
        <f>AND(#REF!,"AAAAAHHw7+U=")</f>
        <v>#REF!</v>
      </c>
      <c r="HW76" t="e">
        <f>AND(#REF!,"AAAAAHHw7+Y=")</f>
        <v>#REF!</v>
      </c>
      <c r="HX76" t="e">
        <f>AND(#REF!,"AAAAAHHw7+c=")</f>
        <v>#REF!</v>
      </c>
      <c r="HY76" t="e">
        <f>AND(#REF!,"AAAAAHHw7+g=")</f>
        <v>#REF!</v>
      </c>
      <c r="HZ76" t="e">
        <f>AND(#REF!,"AAAAAHHw7+k=")</f>
        <v>#REF!</v>
      </c>
      <c r="IA76" t="e">
        <f>AND(#REF!,"AAAAAHHw7+o=")</f>
        <v>#REF!</v>
      </c>
      <c r="IB76" t="e">
        <f>AND(#REF!,"AAAAAHHw7+s=")</f>
        <v>#REF!</v>
      </c>
      <c r="IC76" t="e">
        <f>AND(#REF!,"AAAAAHHw7+w=")</f>
        <v>#REF!</v>
      </c>
      <c r="ID76" t="e">
        <f>AND(#REF!,"AAAAAHHw7+0=")</f>
        <v>#REF!</v>
      </c>
      <c r="IE76" t="e">
        <f>AND(#REF!,"AAAAAHHw7+4=")</f>
        <v>#REF!</v>
      </c>
      <c r="IF76" t="e">
        <f>AND(#REF!,"AAAAAHHw7+8=")</f>
        <v>#REF!</v>
      </c>
      <c r="IG76" t="e">
        <f>AND(#REF!,"AAAAAHHw7/A=")</f>
        <v>#REF!</v>
      </c>
      <c r="IH76" t="e">
        <f>AND(#REF!,"AAAAAHHw7/E=")</f>
        <v>#REF!</v>
      </c>
      <c r="II76" t="e">
        <f>AND(#REF!,"AAAAAHHw7/I=")</f>
        <v>#REF!</v>
      </c>
      <c r="IJ76" t="e">
        <f>AND(#REF!,"AAAAAHHw7/M=")</f>
        <v>#REF!</v>
      </c>
      <c r="IK76" t="e">
        <f>AND(#REF!,"AAAAAHHw7/Q=")</f>
        <v>#REF!</v>
      </c>
      <c r="IL76" t="e">
        <f>AND(#REF!,"AAAAAHHw7/U=")</f>
        <v>#REF!</v>
      </c>
      <c r="IM76" t="e">
        <f>AND(#REF!,"AAAAAHHw7/Y=")</f>
        <v>#REF!</v>
      </c>
      <c r="IN76" t="e">
        <f>AND(#REF!,"AAAAAHHw7/c=")</f>
        <v>#REF!</v>
      </c>
      <c r="IO76" t="e">
        <f>AND(#REF!,"AAAAAHHw7/g=")</f>
        <v>#REF!</v>
      </c>
      <c r="IP76" t="e">
        <f>AND(#REF!,"AAAAAHHw7/k=")</f>
        <v>#REF!</v>
      </c>
      <c r="IQ76" t="e">
        <f>AND(#REF!,"AAAAAHHw7/o=")</f>
        <v>#REF!</v>
      </c>
      <c r="IR76" t="e">
        <f>AND(#REF!,"AAAAAHHw7/s=")</f>
        <v>#REF!</v>
      </c>
      <c r="IS76" t="e">
        <f>IF(#REF!,"AAAAAHHw7/w=",0)</f>
        <v>#REF!</v>
      </c>
      <c r="IT76" t="e">
        <f>AND(#REF!,"AAAAAHHw7/0=")</f>
        <v>#REF!</v>
      </c>
      <c r="IU76" t="e">
        <f>AND(#REF!,"AAAAAHHw7/4=")</f>
        <v>#REF!</v>
      </c>
      <c r="IV76" t="e">
        <f>AND(#REF!,"AAAAAHHw7/8=")</f>
        <v>#REF!</v>
      </c>
    </row>
    <row r="77" spans="1:256">
      <c r="A77" t="e">
        <f>AND(#REF!,"AAAAAD/TeQA=")</f>
        <v>#REF!</v>
      </c>
      <c r="B77" t="e">
        <f>AND(#REF!,"AAAAAD/TeQE=")</f>
        <v>#REF!</v>
      </c>
      <c r="C77" t="e">
        <f>AND(#REF!,"AAAAAD/TeQI=")</f>
        <v>#REF!</v>
      </c>
      <c r="D77" t="e">
        <f>AND(#REF!,"AAAAAD/TeQM=")</f>
        <v>#REF!</v>
      </c>
      <c r="E77" t="e">
        <f>AND(#REF!,"AAAAAD/TeQQ=")</f>
        <v>#REF!</v>
      </c>
      <c r="F77" t="e">
        <f>AND(#REF!,"AAAAAD/TeQU=")</f>
        <v>#REF!</v>
      </c>
      <c r="G77" t="e">
        <f>AND(#REF!,"AAAAAD/TeQY=")</f>
        <v>#REF!</v>
      </c>
      <c r="H77" t="e">
        <f>AND(#REF!,"AAAAAD/TeQc=")</f>
        <v>#REF!</v>
      </c>
      <c r="I77" t="e">
        <f>AND(#REF!,"AAAAAD/TeQg=")</f>
        <v>#REF!</v>
      </c>
      <c r="J77" t="e">
        <f>AND(#REF!,"AAAAAD/TeQk=")</f>
        <v>#REF!</v>
      </c>
      <c r="K77" t="e">
        <f>AND(#REF!,"AAAAAD/TeQo=")</f>
        <v>#REF!</v>
      </c>
      <c r="L77" t="e">
        <f>AND(#REF!,"AAAAAD/TeQs=")</f>
        <v>#REF!</v>
      </c>
      <c r="M77" t="e">
        <f>AND(#REF!,"AAAAAD/TeQw=")</f>
        <v>#REF!</v>
      </c>
      <c r="N77" t="e">
        <f>AND(#REF!,"AAAAAD/TeQ0=")</f>
        <v>#REF!</v>
      </c>
      <c r="O77" t="e">
        <f>AND(#REF!,"AAAAAD/TeQ4=")</f>
        <v>#REF!</v>
      </c>
      <c r="P77" t="e">
        <f>AND(#REF!,"AAAAAD/TeQ8=")</f>
        <v>#REF!</v>
      </c>
      <c r="Q77" t="e">
        <f>AND(#REF!,"AAAAAD/TeRA=")</f>
        <v>#REF!</v>
      </c>
      <c r="R77" t="e">
        <f>AND(#REF!,"AAAAAD/TeRE=")</f>
        <v>#REF!</v>
      </c>
      <c r="S77" t="e">
        <f>AND(#REF!,"AAAAAD/TeRI=")</f>
        <v>#REF!</v>
      </c>
      <c r="T77" t="e">
        <f>AND(#REF!,"AAAAAD/TeRM=")</f>
        <v>#REF!</v>
      </c>
      <c r="U77" t="e">
        <f>AND(#REF!,"AAAAAD/TeRQ=")</f>
        <v>#REF!</v>
      </c>
      <c r="V77" t="e">
        <f>AND(#REF!,"AAAAAD/TeRU=")</f>
        <v>#REF!</v>
      </c>
      <c r="W77" t="e">
        <f>AND(#REF!,"AAAAAD/TeRY=")</f>
        <v>#REF!</v>
      </c>
      <c r="X77" t="e">
        <f>AND(#REF!,"AAAAAD/TeRc=")</f>
        <v>#REF!</v>
      </c>
      <c r="Y77" t="e">
        <f>AND(#REF!,"AAAAAD/TeRg=")</f>
        <v>#REF!</v>
      </c>
      <c r="Z77" t="e">
        <f>AND(#REF!,"AAAAAD/TeRk=")</f>
        <v>#REF!</v>
      </c>
      <c r="AA77" t="e">
        <f>IF(#REF!,"AAAAAD/TeRo=",0)</f>
        <v>#REF!</v>
      </c>
      <c r="AB77" t="e">
        <f>AND(#REF!,"AAAAAD/TeRs=")</f>
        <v>#REF!</v>
      </c>
      <c r="AC77" t="e">
        <f>AND(#REF!,"AAAAAD/TeRw=")</f>
        <v>#REF!</v>
      </c>
      <c r="AD77" t="e">
        <f>AND(#REF!,"AAAAAD/TeR0=")</f>
        <v>#REF!</v>
      </c>
      <c r="AE77" t="e">
        <f>AND(#REF!,"AAAAAD/TeR4=")</f>
        <v>#REF!</v>
      </c>
      <c r="AF77" t="e">
        <f>AND(#REF!,"AAAAAD/TeR8=")</f>
        <v>#REF!</v>
      </c>
      <c r="AG77" t="e">
        <f>AND(#REF!,"AAAAAD/TeSA=")</f>
        <v>#REF!</v>
      </c>
      <c r="AH77" t="e">
        <f>AND(#REF!,"AAAAAD/TeSE=")</f>
        <v>#REF!</v>
      </c>
      <c r="AI77" t="e">
        <f>AND(#REF!,"AAAAAD/TeSI=")</f>
        <v>#REF!</v>
      </c>
      <c r="AJ77" t="e">
        <f>AND(#REF!,"AAAAAD/TeSM=")</f>
        <v>#REF!</v>
      </c>
      <c r="AK77" t="e">
        <f>AND(#REF!,"AAAAAD/TeSQ=")</f>
        <v>#REF!</v>
      </c>
      <c r="AL77" t="e">
        <f>AND(#REF!,"AAAAAD/TeSU=")</f>
        <v>#REF!</v>
      </c>
      <c r="AM77" t="e">
        <f>AND(#REF!,"AAAAAD/TeSY=")</f>
        <v>#REF!</v>
      </c>
      <c r="AN77" t="e">
        <f>AND(#REF!,"AAAAAD/TeSc=")</f>
        <v>#REF!</v>
      </c>
      <c r="AO77" t="e">
        <f>AND(#REF!,"AAAAAD/TeSg=")</f>
        <v>#REF!</v>
      </c>
      <c r="AP77" t="e">
        <f>AND(#REF!,"AAAAAD/TeSk=")</f>
        <v>#REF!</v>
      </c>
      <c r="AQ77" t="e">
        <f>AND(#REF!,"AAAAAD/TeSo=")</f>
        <v>#REF!</v>
      </c>
      <c r="AR77" t="e">
        <f>AND(#REF!,"AAAAAD/TeSs=")</f>
        <v>#REF!</v>
      </c>
      <c r="AS77" t="e">
        <f>AND(#REF!,"AAAAAD/TeSw=")</f>
        <v>#REF!</v>
      </c>
      <c r="AT77" t="e">
        <f>AND(#REF!,"AAAAAD/TeS0=")</f>
        <v>#REF!</v>
      </c>
      <c r="AU77" t="e">
        <f>AND(#REF!,"AAAAAD/TeS4=")</f>
        <v>#REF!</v>
      </c>
      <c r="AV77" t="e">
        <f>AND(#REF!,"AAAAAD/TeS8=")</f>
        <v>#REF!</v>
      </c>
      <c r="AW77" t="e">
        <f>AND(#REF!,"AAAAAD/TeTA=")</f>
        <v>#REF!</v>
      </c>
      <c r="AX77" t="e">
        <f>AND(#REF!,"AAAAAD/TeTE=")</f>
        <v>#REF!</v>
      </c>
      <c r="AY77" t="e">
        <f>AND(#REF!,"AAAAAD/TeTI=")</f>
        <v>#REF!</v>
      </c>
      <c r="AZ77" t="e">
        <f>AND(#REF!,"AAAAAD/TeTM=")</f>
        <v>#REF!</v>
      </c>
      <c r="BA77" t="e">
        <f>AND(#REF!,"AAAAAD/TeTQ=")</f>
        <v>#REF!</v>
      </c>
      <c r="BB77" t="e">
        <f>AND(#REF!,"AAAAAD/TeTU=")</f>
        <v>#REF!</v>
      </c>
      <c r="BC77" t="e">
        <f>AND(#REF!,"AAAAAD/TeTY=")</f>
        <v>#REF!</v>
      </c>
      <c r="BD77" t="e">
        <f>AND(#REF!,"AAAAAD/TeTc=")</f>
        <v>#REF!</v>
      </c>
      <c r="BE77" t="e">
        <f>IF(#REF!,"AAAAAD/TeTg=",0)</f>
        <v>#REF!</v>
      </c>
      <c r="BF77" t="e">
        <f>AND(#REF!,"AAAAAD/TeTk=")</f>
        <v>#REF!</v>
      </c>
      <c r="BG77" t="e">
        <f>AND(#REF!,"AAAAAD/TeTo=")</f>
        <v>#REF!</v>
      </c>
      <c r="BH77" t="e">
        <f>AND(#REF!,"AAAAAD/TeTs=")</f>
        <v>#REF!</v>
      </c>
      <c r="BI77" t="e">
        <f>AND(#REF!,"AAAAAD/TeTw=")</f>
        <v>#REF!</v>
      </c>
      <c r="BJ77" t="e">
        <f>AND(#REF!,"AAAAAD/TeT0=")</f>
        <v>#REF!</v>
      </c>
      <c r="BK77" t="e">
        <f>AND(#REF!,"AAAAAD/TeT4=")</f>
        <v>#REF!</v>
      </c>
      <c r="BL77" t="e">
        <f>AND(#REF!,"AAAAAD/TeT8=")</f>
        <v>#REF!</v>
      </c>
      <c r="BM77" t="e">
        <f>AND(#REF!,"AAAAAD/TeUA=")</f>
        <v>#REF!</v>
      </c>
      <c r="BN77" t="e">
        <f>AND(#REF!,"AAAAAD/TeUE=")</f>
        <v>#REF!</v>
      </c>
      <c r="BO77" t="e">
        <f>AND(#REF!,"AAAAAD/TeUI=")</f>
        <v>#REF!</v>
      </c>
      <c r="BP77" t="e">
        <f>AND(#REF!,"AAAAAD/TeUM=")</f>
        <v>#REF!</v>
      </c>
      <c r="BQ77" t="e">
        <f>AND(#REF!,"AAAAAD/TeUQ=")</f>
        <v>#REF!</v>
      </c>
      <c r="BR77" t="e">
        <f>AND(#REF!,"AAAAAD/TeUU=")</f>
        <v>#REF!</v>
      </c>
      <c r="BS77" t="e">
        <f>AND(#REF!,"AAAAAD/TeUY=")</f>
        <v>#REF!</v>
      </c>
      <c r="BT77" t="e">
        <f>AND(#REF!,"AAAAAD/TeUc=")</f>
        <v>#REF!</v>
      </c>
      <c r="BU77" t="e">
        <f>AND(#REF!,"AAAAAD/TeUg=")</f>
        <v>#REF!</v>
      </c>
      <c r="BV77" t="e">
        <f>AND(#REF!,"AAAAAD/TeUk=")</f>
        <v>#REF!</v>
      </c>
      <c r="BW77" t="e">
        <f>AND(#REF!,"AAAAAD/TeUo=")</f>
        <v>#REF!</v>
      </c>
      <c r="BX77" t="e">
        <f>AND(#REF!,"AAAAAD/TeUs=")</f>
        <v>#REF!</v>
      </c>
      <c r="BY77" t="e">
        <f>AND(#REF!,"AAAAAD/TeUw=")</f>
        <v>#REF!</v>
      </c>
      <c r="BZ77" t="e">
        <f>AND(#REF!,"AAAAAD/TeU0=")</f>
        <v>#REF!</v>
      </c>
      <c r="CA77" t="e">
        <f>AND(#REF!,"AAAAAD/TeU4=")</f>
        <v>#REF!</v>
      </c>
      <c r="CB77" t="e">
        <f>AND(#REF!,"AAAAAD/TeU8=")</f>
        <v>#REF!</v>
      </c>
      <c r="CC77" t="e">
        <f>AND(#REF!,"AAAAAD/TeVA=")</f>
        <v>#REF!</v>
      </c>
      <c r="CD77" t="e">
        <f>AND(#REF!,"AAAAAD/TeVE=")</f>
        <v>#REF!</v>
      </c>
      <c r="CE77" t="e">
        <f>AND(#REF!,"AAAAAD/TeVI=")</f>
        <v>#REF!</v>
      </c>
      <c r="CF77" t="e">
        <f>AND(#REF!,"AAAAAD/TeVM=")</f>
        <v>#REF!</v>
      </c>
      <c r="CG77" t="e">
        <f>AND(#REF!,"AAAAAD/TeVQ=")</f>
        <v>#REF!</v>
      </c>
      <c r="CH77" t="e">
        <f>AND(#REF!,"AAAAAD/TeVU=")</f>
        <v>#REF!</v>
      </c>
      <c r="CI77" t="e">
        <f>IF(#REF!,"AAAAAD/TeVY=",0)</f>
        <v>#REF!</v>
      </c>
      <c r="CJ77" t="e">
        <f>AND(#REF!,"AAAAAD/TeVc=")</f>
        <v>#REF!</v>
      </c>
      <c r="CK77" t="e">
        <f>AND(#REF!,"AAAAAD/TeVg=")</f>
        <v>#REF!</v>
      </c>
      <c r="CL77" t="e">
        <f>AND(#REF!,"AAAAAD/TeVk=")</f>
        <v>#REF!</v>
      </c>
      <c r="CM77" t="e">
        <f>AND(#REF!,"AAAAAD/TeVo=")</f>
        <v>#REF!</v>
      </c>
      <c r="CN77" t="e">
        <f>AND(#REF!,"AAAAAD/TeVs=")</f>
        <v>#REF!</v>
      </c>
      <c r="CO77" t="e">
        <f>AND(#REF!,"AAAAAD/TeVw=")</f>
        <v>#REF!</v>
      </c>
      <c r="CP77" t="e">
        <f>AND(#REF!,"AAAAAD/TeV0=")</f>
        <v>#REF!</v>
      </c>
      <c r="CQ77" t="e">
        <f>AND(#REF!,"AAAAAD/TeV4=")</f>
        <v>#REF!</v>
      </c>
      <c r="CR77" t="e">
        <f>AND(#REF!,"AAAAAD/TeV8=")</f>
        <v>#REF!</v>
      </c>
      <c r="CS77" t="e">
        <f>AND(#REF!,"AAAAAD/TeWA=")</f>
        <v>#REF!</v>
      </c>
      <c r="CT77" t="e">
        <f>AND(#REF!,"AAAAAD/TeWE=")</f>
        <v>#REF!</v>
      </c>
      <c r="CU77" t="e">
        <f>AND(#REF!,"AAAAAD/TeWI=")</f>
        <v>#REF!</v>
      </c>
      <c r="CV77" t="e">
        <f>AND(#REF!,"AAAAAD/TeWM=")</f>
        <v>#REF!</v>
      </c>
      <c r="CW77" t="e">
        <f>AND(#REF!,"AAAAAD/TeWQ=")</f>
        <v>#REF!</v>
      </c>
      <c r="CX77" t="e">
        <f>AND(#REF!,"AAAAAD/TeWU=")</f>
        <v>#REF!</v>
      </c>
      <c r="CY77" t="e">
        <f>AND(#REF!,"AAAAAD/TeWY=")</f>
        <v>#REF!</v>
      </c>
      <c r="CZ77" t="e">
        <f>AND(#REF!,"AAAAAD/TeWc=")</f>
        <v>#REF!</v>
      </c>
      <c r="DA77" t="e">
        <f>AND(#REF!,"AAAAAD/TeWg=")</f>
        <v>#REF!</v>
      </c>
      <c r="DB77" t="e">
        <f>AND(#REF!,"AAAAAD/TeWk=")</f>
        <v>#REF!</v>
      </c>
      <c r="DC77" t="e">
        <f>AND(#REF!,"AAAAAD/TeWo=")</f>
        <v>#REF!</v>
      </c>
      <c r="DD77" t="e">
        <f>AND(#REF!,"AAAAAD/TeWs=")</f>
        <v>#REF!</v>
      </c>
      <c r="DE77" t="e">
        <f>AND(#REF!,"AAAAAD/TeWw=")</f>
        <v>#REF!</v>
      </c>
      <c r="DF77" t="e">
        <f>AND(#REF!,"AAAAAD/TeW0=")</f>
        <v>#REF!</v>
      </c>
      <c r="DG77" t="e">
        <f>AND(#REF!,"AAAAAD/TeW4=")</f>
        <v>#REF!</v>
      </c>
      <c r="DH77" t="e">
        <f>AND(#REF!,"AAAAAD/TeW8=")</f>
        <v>#REF!</v>
      </c>
      <c r="DI77" t="e">
        <f>AND(#REF!,"AAAAAD/TeXA=")</f>
        <v>#REF!</v>
      </c>
      <c r="DJ77" t="e">
        <f>AND(#REF!,"AAAAAD/TeXE=")</f>
        <v>#REF!</v>
      </c>
      <c r="DK77" t="e">
        <f>AND(#REF!,"AAAAAD/TeXI=")</f>
        <v>#REF!</v>
      </c>
      <c r="DL77" t="e">
        <f>AND(#REF!,"AAAAAD/TeXM=")</f>
        <v>#REF!</v>
      </c>
      <c r="DM77" t="e">
        <f>IF(#REF!,"AAAAAD/TeXQ=",0)</f>
        <v>#REF!</v>
      </c>
      <c r="DN77" t="e">
        <f>AND(#REF!,"AAAAAD/TeXU=")</f>
        <v>#REF!</v>
      </c>
      <c r="DO77" t="e">
        <f>AND(#REF!,"AAAAAD/TeXY=")</f>
        <v>#REF!</v>
      </c>
      <c r="DP77" t="e">
        <f>AND(#REF!,"AAAAAD/TeXc=")</f>
        <v>#REF!</v>
      </c>
      <c r="DQ77" t="e">
        <f>AND(#REF!,"AAAAAD/TeXg=")</f>
        <v>#REF!</v>
      </c>
      <c r="DR77" t="e">
        <f>AND(#REF!,"AAAAAD/TeXk=")</f>
        <v>#REF!</v>
      </c>
      <c r="DS77" t="e">
        <f>AND(#REF!,"AAAAAD/TeXo=")</f>
        <v>#REF!</v>
      </c>
      <c r="DT77" t="e">
        <f>AND(#REF!,"AAAAAD/TeXs=")</f>
        <v>#REF!</v>
      </c>
      <c r="DU77" t="e">
        <f>AND(#REF!,"AAAAAD/TeXw=")</f>
        <v>#REF!</v>
      </c>
      <c r="DV77" t="e">
        <f>AND(#REF!,"AAAAAD/TeX0=")</f>
        <v>#REF!</v>
      </c>
      <c r="DW77" t="e">
        <f>AND(#REF!,"AAAAAD/TeX4=")</f>
        <v>#REF!</v>
      </c>
      <c r="DX77" t="e">
        <f>AND(#REF!,"AAAAAD/TeX8=")</f>
        <v>#REF!</v>
      </c>
      <c r="DY77" t="e">
        <f>AND(#REF!,"AAAAAD/TeYA=")</f>
        <v>#REF!</v>
      </c>
      <c r="DZ77" t="e">
        <f>AND(#REF!,"AAAAAD/TeYE=")</f>
        <v>#REF!</v>
      </c>
      <c r="EA77" t="e">
        <f>AND(#REF!,"AAAAAD/TeYI=")</f>
        <v>#REF!</v>
      </c>
      <c r="EB77" t="e">
        <f>AND(#REF!,"AAAAAD/TeYM=")</f>
        <v>#REF!</v>
      </c>
      <c r="EC77" t="e">
        <f>AND(#REF!,"AAAAAD/TeYQ=")</f>
        <v>#REF!</v>
      </c>
      <c r="ED77" t="e">
        <f>AND(#REF!,"AAAAAD/TeYU=")</f>
        <v>#REF!</v>
      </c>
      <c r="EE77" t="e">
        <f>AND(#REF!,"AAAAAD/TeYY=")</f>
        <v>#REF!</v>
      </c>
      <c r="EF77" t="e">
        <f>AND(#REF!,"AAAAAD/TeYc=")</f>
        <v>#REF!</v>
      </c>
      <c r="EG77" t="e">
        <f>AND(#REF!,"AAAAAD/TeYg=")</f>
        <v>#REF!</v>
      </c>
      <c r="EH77" t="e">
        <f>AND(#REF!,"AAAAAD/TeYk=")</f>
        <v>#REF!</v>
      </c>
      <c r="EI77" t="e">
        <f>AND(#REF!,"AAAAAD/TeYo=")</f>
        <v>#REF!</v>
      </c>
      <c r="EJ77" t="e">
        <f>AND(#REF!,"AAAAAD/TeYs=")</f>
        <v>#REF!</v>
      </c>
      <c r="EK77" t="e">
        <f>AND(#REF!,"AAAAAD/TeYw=")</f>
        <v>#REF!</v>
      </c>
      <c r="EL77" t="e">
        <f>AND(#REF!,"AAAAAD/TeY0=")</f>
        <v>#REF!</v>
      </c>
      <c r="EM77" t="e">
        <f>AND(#REF!,"AAAAAD/TeY4=")</f>
        <v>#REF!</v>
      </c>
      <c r="EN77" t="e">
        <f>AND(#REF!,"AAAAAD/TeY8=")</f>
        <v>#REF!</v>
      </c>
      <c r="EO77" t="e">
        <f>AND(#REF!,"AAAAAD/TeZA=")</f>
        <v>#REF!</v>
      </c>
      <c r="EP77" t="e">
        <f>AND(#REF!,"AAAAAD/TeZE=")</f>
        <v>#REF!</v>
      </c>
      <c r="EQ77" t="e">
        <f>IF(#REF!,"AAAAAD/TeZI=",0)</f>
        <v>#REF!</v>
      </c>
      <c r="ER77" t="e">
        <f>AND(#REF!,"AAAAAD/TeZM=")</f>
        <v>#REF!</v>
      </c>
      <c r="ES77" t="e">
        <f>AND(#REF!,"AAAAAD/TeZQ=")</f>
        <v>#REF!</v>
      </c>
      <c r="ET77" t="e">
        <f>AND(#REF!,"AAAAAD/TeZU=")</f>
        <v>#REF!</v>
      </c>
      <c r="EU77" t="e">
        <f>AND(#REF!,"AAAAAD/TeZY=")</f>
        <v>#REF!</v>
      </c>
      <c r="EV77" t="e">
        <f>AND(#REF!,"AAAAAD/TeZc=")</f>
        <v>#REF!</v>
      </c>
      <c r="EW77" t="e">
        <f>AND(#REF!,"AAAAAD/TeZg=")</f>
        <v>#REF!</v>
      </c>
      <c r="EX77" t="e">
        <f>AND(#REF!,"AAAAAD/TeZk=")</f>
        <v>#REF!</v>
      </c>
      <c r="EY77" t="e">
        <f>AND(#REF!,"AAAAAD/TeZo=")</f>
        <v>#REF!</v>
      </c>
      <c r="EZ77" t="e">
        <f>AND(#REF!,"AAAAAD/TeZs=")</f>
        <v>#REF!</v>
      </c>
      <c r="FA77" t="e">
        <f>AND(#REF!,"AAAAAD/TeZw=")</f>
        <v>#REF!</v>
      </c>
      <c r="FB77" t="e">
        <f>AND(#REF!,"AAAAAD/TeZ0=")</f>
        <v>#REF!</v>
      </c>
      <c r="FC77" t="e">
        <f>AND(#REF!,"AAAAAD/TeZ4=")</f>
        <v>#REF!</v>
      </c>
      <c r="FD77" t="e">
        <f>AND(#REF!,"AAAAAD/TeZ8=")</f>
        <v>#REF!</v>
      </c>
      <c r="FE77" t="e">
        <f>AND(#REF!,"AAAAAD/TeaA=")</f>
        <v>#REF!</v>
      </c>
      <c r="FF77" t="e">
        <f>AND(#REF!,"AAAAAD/TeaE=")</f>
        <v>#REF!</v>
      </c>
      <c r="FG77" t="e">
        <f>AND(#REF!,"AAAAAD/TeaI=")</f>
        <v>#REF!</v>
      </c>
      <c r="FH77" t="e">
        <f>AND(#REF!,"AAAAAD/TeaM=")</f>
        <v>#REF!</v>
      </c>
      <c r="FI77" t="e">
        <f>AND(#REF!,"AAAAAD/TeaQ=")</f>
        <v>#REF!</v>
      </c>
      <c r="FJ77" t="e">
        <f>AND(#REF!,"AAAAAD/TeaU=")</f>
        <v>#REF!</v>
      </c>
      <c r="FK77" t="e">
        <f>AND(#REF!,"AAAAAD/TeaY=")</f>
        <v>#REF!</v>
      </c>
      <c r="FL77" t="e">
        <f>AND(#REF!,"AAAAAD/Teac=")</f>
        <v>#REF!</v>
      </c>
      <c r="FM77" t="e">
        <f>AND(#REF!,"AAAAAD/Teag=")</f>
        <v>#REF!</v>
      </c>
      <c r="FN77" t="e">
        <f>AND(#REF!,"AAAAAD/Teak=")</f>
        <v>#REF!</v>
      </c>
      <c r="FO77" t="e">
        <f>AND(#REF!,"AAAAAD/Teao=")</f>
        <v>#REF!</v>
      </c>
      <c r="FP77" t="e">
        <f>AND(#REF!,"AAAAAD/Teas=")</f>
        <v>#REF!</v>
      </c>
      <c r="FQ77" t="e">
        <f>AND(#REF!,"AAAAAD/Teaw=")</f>
        <v>#REF!</v>
      </c>
      <c r="FR77" t="e">
        <f>AND(#REF!,"AAAAAD/Tea0=")</f>
        <v>#REF!</v>
      </c>
      <c r="FS77" t="e">
        <f>AND(#REF!,"AAAAAD/Tea4=")</f>
        <v>#REF!</v>
      </c>
      <c r="FT77" t="e">
        <f>AND(#REF!,"AAAAAD/Tea8=")</f>
        <v>#REF!</v>
      </c>
      <c r="FU77" t="e">
        <f>IF(#REF!,"AAAAAD/TebA=",0)</f>
        <v>#REF!</v>
      </c>
      <c r="FV77" t="e">
        <f>AND(#REF!,"AAAAAD/TebE=")</f>
        <v>#REF!</v>
      </c>
      <c r="FW77" t="e">
        <f>AND(#REF!,"AAAAAD/TebI=")</f>
        <v>#REF!</v>
      </c>
      <c r="FX77" t="e">
        <f>AND(#REF!,"AAAAAD/TebM=")</f>
        <v>#REF!</v>
      </c>
      <c r="FY77" t="e">
        <f>AND(#REF!,"AAAAAD/TebQ=")</f>
        <v>#REF!</v>
      </c>
      <c r="FZ77" t="e">
        <f>AND(#REF!,"AAAAAD/TebU=")</f>
        <v>#REF!</v>
      </c>
      <c r="GA77" t="e">
        <f>AND(#REF!,"AAAAAD/TebY=")</f>
        <v>#REF!</v>
      </c>
      <c r="GB77" t="e">
        <f>AND(#REF!,"AAAAAD/Tebc=")</f>
        <v>#REF!</v>
      </c>
      <c r="GC77" t="e">
        <f>AND(#REF!,"AAAAAD/Tebg=")</f>
        <v>#REF!</v>
      </c>
      <c r="GD77" t="e">
        <f>AND(#REF!,"AAAAAD/Tebk=")</f>
        <v>#REF!</v>
      </c>
      <c r="GE77" t="e">
        <f>AND(#REF!,"AAAAAD/Tebo=")</f>
        <v>#REF!</v>
      </c>
      <c r="GF77" t="e">
        <f>AND(#REF!,"AAAAAD/Tebs=")</f>
        <v>#REF!</v>
      </c>
      <c r="GG77" t="e">
        <f>AND(#REF!,"AAAAAD/Tebw=")</f>
        <v>#REF!</v>
      </c>
      <c r="GH77" t="e">
        <f>AND(#REF!,"AAAAAD/Teb0=")</f>
        <v>#REF!</v>
      </c>
      <c r="GI77" t="e">
        <f>AND(#REF!,"AAAAAD/Teb4=")</f>
        <v>#REF!</v>
      </c>
      <c r="GJ77" t="e">
        <f>AND(#REF!,"AAAAAD/Teb8=")</f>
        <v>#REF!</v>
      </c>
      <c r="GK77" t="e">
        <f>AND(#REF!,"AAAAAD/TecA=")</f>
        <v>#REF!</v>
      </c>
      <c r="GL77" t="e">
        <f>AND(#REF!,"AAAAAD/TecE=")</f>
        <v>#REF!</v>
      </c>
      <c r="GM77" t="e">
        <f>AND(#REF!,"AAAAAD/TecI=")</f>
        <v>#REF!</v>
      </c>
      <c r="GN77" t="e">
        <f>AND(#REF!,"AAAAAD/TecM=")</f>
        <v>#REF!</v>
      </c>
      <c r="GO77" t="e">
        <f>AND(#REF!,"AAAAAD/TecQ=")</f>
        <v>#REF!</v>
      </c>
      <c r="GP77" t="e">
        <f>AND(#REF!,"AAAAAD/TecU=")</f>
        <v>#REF!</v>
      </c>
      <c r="GQ77" t="e">
        <f>AND(#REF!,"AAAAAD/TecY=")</f>
        <v>#REF!</v>
      </c>
      <c r="GR77" t="e">
        <f>AND(#REF!,"AAAAAD/Tecc=")</f>
        <v>#REF!</v>
      </c>
      <c r="GS77" t="e">
        <f>AND(#REF!,"AAAAAD/Tecg=")</f>
        <v>#REF!</v>
      </c>
      <c r="GT77" t="e">
        <f>AND(#REF!,"AAAAAD/Teck=")</f>
        <v>#REF!</v>
      </c>
      <c r="GU77" t="e">
        <f>AND(#REF!,"AAAAAD/Teco=")</f>
        <v>#REF!</v>
      </c>
      <c r="GV77" t="e">
        <f>AND(#REF!,"AAAAAD/Tecs=")</f>
        <v>#REF!</v>
      </c>
      <c r="GW77" t="e">
        <f>AND(#REF!,"AAAAAD/Tecw=")</f>
        <v>#REF!</v>
      </c>
      <c r="GX77" t="e">
        <f>AND(#REF!,"AAAAAD/Tec0=")</f>
        <v>#REF!</v>
      </c>
      <c r="GY77" t="e">
        <f>IF(#REF!,"AAAAAD/Tec4=",0)</f>
        <v>#REF!</v>
      </c>
      <c r="GZ77" t="e">
        <f>AND(#REF!,"AAAAAD/Tec8=")</f>
        <v>#REF!</v>
      </c>
      <c r="HA77" t="e">
        <f>AND(#REF!,"AAAAAD/TedA=")</f>
        <v>#REF!</v>
      </c>
      <c r="HB77" t="e">
        <f>AND(#REF!,"AAAAAD/TedE=")</f>
        <v>#REF!</v>
      </c>
      <c r="HC77" t="e">
        <f>AND(#REF!,"AAAAAD/TedI=")</f>
        <v>#REF!</v>
      </c>
      <c r="HD77" t="e">
        <f>AND(#REF!,"AAAAAD/TedM=")</f>
        <v>#REF!</v>
      </c>
      <c r="HE77" t="e">
        <f>AND(#REF!,"AAAAAD/TedQ=")</f>
        <v>#REF!</v>
      </c>
      <c r="HF77" t="e">
        <f>AND(#REF!,"AAAAAD/TedU=")</f>
        <v>#REF!</v>
      </c>
      <c r="HG77" t="e">
        <f>AND(#REF!,"AAAAAD/TedY=")</f>
        <v>#REF!</v>
      </c>
      <c r="HH77" t="e">
        <f>AND(#REF!,"AAAAAD/Tedc=")</f>
        <v>#REF!</v>
      </c>
      <c r="HI77" t="e">
        <f>AND(#REF!,"AAAAAD/Tedg=")</f>
        <v>#REF!</v>
      </c>
      <c r="HJ77" t="e">
        <f>AND(#REF!,"AAAAAD/Tedk=")</f>
        <v>#REF!</v>
      </c>
      <c r="HK77" t="e">
        <f>AND(#REF!,"AAAAAD/Tedo=")</f>
        <v>#REF!</v>
      </c>
      <c r="HL77" t="e">
        <f>AND(#REF!,"AAAAAD/Teds=")</f>
        <v>#REF!</v>
      </c>
      <c r="HM77" t="e">
        <f>AND(#REF!,"AAAAAD/Tedw=")</f>
        <v>#REF!</v>
      </c>
      <c r="HN77" t="e">
        <f>AND(#REF!,"AAAAAD/Ted0=")</f>
        <v>#REF!</v>
      </c>
      <c r="HO77" t="e">
        <f>AND(#REF!,"AAAAAD/Ted4=")</f>
        <v>#REF!</v>
      </c>
      <c r="HP77" t="e">
        <f>AND(#REF!,"AAAAAD/Ted8=")</f>
        <v>#REF!</v>
      </c>
      <c r="HQ77" t="e">
        <f>AND(#REF!,"AAAAAD/TeeA=")</f>
        <v>#REF!</v>
      </c>
      <c r="HR77" t="e">
        <f>AND(#REF!,"AAAAAD/TeeE=")</f>
        <v>#REF!</v>
      </c>
      <c r="HS77" t="e">
        <f>AND(#REF!,"AAAAAD/TeeI=")</f>
        <v>#REF!</v>
      </c>
      <c r="HT77" t="e">
        <f>AND(#REF!,"AAAAAD/TeeM=")</f>
        <v>#REF!</v>
      </c>
      <c r="HU77" t="e">
        <f>AND(#REF!,"AAAAAD/TeeQ=")</f>
        <v>#REF!</v>
      </c>
      <c r="HV77" t="e">
        <f>AND(#REF!,"AAAAAD/TeeU=")</f>
        <v>#REF!</v>
      </c>
      <c r="HW77" t="e">
        <f>AND(#REF!,"AAAAAD/TeeY=")</f>
        <v>#REF!</v>
      </c>
      <c r="HX77" t="e">
        <f>AND(#REF!,"AAAAAD/Teec=")</f>
        <v>#REF!</v>
      </c>
      <c r="HY77" t="e">
        <f>AND(#REF!,"AAAAAD/Teeg=")</f>
        <v>#REF!</v>
      </c>
      <c r="HZ77" t="e">
        <f>AND(#REF!,"AAAAAD/Teek=")</f>
        <v>#REF!</v>
      </c>
      <c r="IA77" t="e">
        <f>AND(#REF!,"AAAAAD/Teeo=")</f>
        <v>#REF!</v>
      </c>
      <c r="IB77" t="e">
        <f>AND(#REF!,"AAAAAD/Tees=")</f>
        <v>#REF!</v>
      </c>
      <c r="IC77" t="e">
        <f>IF(#REF!,"AAAAAD/Teew=",0)</f>
        <v>#REF!</v>
      </c>
      <c r="ID77" t="e">
        <f>AND(#REF!,"AAAAAD/Tee0=")</f>
        <v>#REF!</v>
      </c>
      <c r="IE77" t="e">
        <f>AND(#REF!,"AAAAAD/Tee4=")</f>
        <v>#REF!</v>
      </c>
      <c r="IF77" t="e">
        <f>AND(#REF!,"AAAAAD/Tee8=")</f>
        <v>#REF!</v>
      </c>
      <c r="IG77" t="e">
        <f>AND(#REF!,"AAAAAD/TefA=")</f>
        <v>#REF!</v>
      </c>
      <c r="IH77" t="e">
        <f>AND(#REF!,"AAAAAD/TefE=")</f>
        <v>#REF!</v>
      </c>
      <c r="II77" t="e">
        <f>AND(#REF!,"AAAAAD/TefI=")</f>
        <v>#REF!</v>
      </c>
      <c r="IJ77" t="e">
        <f>AND(#REF!,"AAAAAD/TefM=")</f>
        <v>#REF!</v>
      </c>
      <c r="IK77" t="e">
        <f>AND(#REF!,"AAAAAD/TefQ=")</f>
        <v>#REF!</v>
      </c>
      <c r="IL77" t="e">
        <f>AND(#REF!,"AAAAAD/TefU=")</f>
        <v>#REF!</v>
      </c>
      <c r="IM77" t="e">
        <f>AND(#REF!,"AAAAAD/TefY=")</f>
        <v>#REF!</v>
      </c>
      <c r="IN77" t="e">
        <f>AND(#REF!,"AAAAAD/Tefc=")</f>
        <v>#REF!</v>
      </c>
      <c r="IO77" t="e">
        <f>AND(#REF!,"AAAAAD/Tefg=")</f>
        <v>#REF!</v>
      </c>
      <c r="IP77" t="e">
        <f>AND(#REF!,"AAAAAD/Tefk=")</f>
        <v>#REF!</v>
      </c>
      <c r="IQ77" t="e">
        <f>AND(#REF!,"AAAAAD/Tefo=")</f>
        <v>#REF!</v>
      </c>
      <c r="IR77" t="e">
        <f>AND(#REF!,"AAAAAD/Tefs=")</f>
        <v>#REF!</v>
      </c>
      <c r="IS77" t="e">
        <f>AND(#REF!,"AAAAAD/Tefw=")</f>
        <v>#REF!</v>
      </c>
      <c r="IT77" t="e">
        <f>AND(#REF!,"AAAAAD/Tef0=")</f>
        <v>#REF!</v>
      </c>
      <c r="IU77" t="e">
        <f>AND(#REF!,"AAAAAD/Tef4=")</f>
        <v>#REF!</v>
      </c>
      <c r="IV77" t="e">
        <f>AND(#REF!,"AAAAAD/Tef8=")</f>
        <v>#REF!</v>
      </c>
    </row>
    <row r="78" spans="1:256">
      <c r="A78" t="e">
        <f>AND(#REF!,"AAAAAG/3cQA=")</f>
        <v>#REF!</v>
      </c>
      <c r="B78" t="e">
        <f>AND(#REF!,"AAAAAG/3cQE=")</f>
        <v>#REF!</v>
      </c>
      <c r="C78" t="e">
        <f>AND(#REF!,"AAAAAG/3cQI=")</f>
        <v>#REF!</v>
      </c>
      <c r="D78" t="e">
        <f>AND(#REF!,"AAAAAG/3cQM=")</f>
        <v>#REF!</v>
      </c>
      <c r="E78" t="e">
        <f>AND(#REF!,"AAAAAG/3cQQ=")</f>
        <v>#REF!</v>
      </c>
      <c r="F78" t="e">
        <f>AND(#REF!,"AAAAAG/3cQU=")</f>
        <v>#REF!</v>
      </c>
      <c r="G78" t="e">
        <f>AND(#REF!,"AAAAAG/3cQY=")</f>
        <v>#REF!</v>
      </c>
      <c r="H78" t="e">
        <f>AND(#REF!,"AAAAAG/3cQc=")</f>
        <v>#REF!</v>
      </c>
      <c r="I78" t="e">
        <f>AND(#REF!,"AAAAAG/3cQg=")</f>
        <v>#REF!</v>
      </c>
      <c r="J78" t="e">
        <f>AND(#REF!,"AAAAAG/3cQk=")</f>
        <v>#REF!</v>
      </c>
      <c r="K78" t="e">
        <f>IF(#REF!,"AAAAAG/3cQo=",0)</f>
        <v>#REF!</v>
      </c>
      <c r="L78" t="e">
        <f>AND(#REF!,"AAAAAG/3cQs=")</f>
        <v>#REF!</v>
      </c>
      <c r="M78" t="e">
        <f>AND(#REF!,"AAAAAG/3cQw=")</f>
        <v>#REF!</v>
      </c>
      <c r="N78" t="e">
        <f>AND(#REF!,"AAAAAG/3cQ0=")</f>
        <v>#REF!</v>
      </c>
      <c r="O78" t="e">
        <f>AND(#REF!,"AAAAAG/3cQ4=")</f>
        <v>#REF!</v>
      </c>
      <c r="P78" t="e">
        <f>AND(#REF!,"AAAAAG/3cQ8=")</f>
        <v>#REF!</v>
      </c>
      <c r="Q78" t="e">
        <f>AND(#REF!,"AAAAAG/3cRA=")</f>
        <v>#REF!</v>
      </c>
      <c r="R78" t="e">
        <f>AND(#REF!,"AAAAAG/3cRE=")</f>
        <v>#REF!</v>
      </c>
      <c r="S78" t="e">
        <f>AND(#REF!,"AAAAAG/3cRI=")</f>
        <v>#REF!</v>
      </c>
      <c r="T78" t="e">
        <f>AND(#REF!,"AAAAAG/3cRM=")</f>
        <v>#REF!</v>
      </c>
      <c r="U78" t="e">
        <f>AND(#REF!,"AAAAAG/3cRQ=")</f>
        <v>#REF!</v>
      </c>
      <c r="V78" t="e">
        <f>AND(#REF!,"AAAAAG/3cRU=")</f>
        <v>#REF!</v>
      </c>
      <c r="W78" t="e">
        <f>AND(#REF!,"AAAAAG/3cRY=")</f>
        <v>#REF!</v>
      </c>
      <c r="X78" t="e">
        <f>AND(#REF!,"AAAAAG/3cRc=")</f>
        <v>#REF!</v>
      </c>
      <c r="Y78" t="e">
        <f>AND(#REF!,"AAAAAG/3cRg=")</f>
        <v>#REF!</v>
      </c>
      <c r="Z78" t="e">
        <f>AND(#REF!,"AAAAAG/3cRk=")</f>
        <v>#REF!</v>
      </c>
      <c r="AA78" t="e">
        <f>AND(#REF!,"AAAAAG/3cRo=")</f>
        <v>#REF!</v>
      </c>
      <c r="AB78" t="e">
        <f>AND(#REF!,"AAAAAG/3cRs=")</f>
        <v>#REF!</v>
      </c>
      <c r="AC78" t="e">
        <f>AND(#REF!,"AAAAAG/3cRw=")</f>
        <v>#REF!</v>
      </c>
      <c r="AD78" t="e">
        <f>AND(#REF!,"AAAAAG/3cR0=")</f>
        <v>#REF!</v>
      </c>
      <c r="AE78" t="e">
        <f>AND(#REF!,"AAAAAG/3cR4=")</f>
        <v>#REF!</v>
      </c>
      <c r="AF78" t="e">
        <f>AND(#REF!,"AAAAAG/3cR8=")</f>
        <v>#REF!</v>
      </c>
      <c r="AG78" t="e">
        <f>AND(#REF!,"AAAAAG/3cSA=")</f>
        <v>#REF!</v>
      </c>
      <c r="AH78" t="e">
        <f>AND(#REF!,"AAAAAG/3cSE=")</f>
        <v>#REF!</v>
      </c>
      <c r="AI78" t="e">
        <f>AND(#REF!,"AAAAAG/3cSI=")</f>
        <v>#REF!</v>
      </c>
      <c r="AJ78" t="e">
        <f>AND(#REF!,"AAAAAG/3cSM=")</f>
        <v>#REF!</v>
      </c>
      <c r="AK78" t="e">
        <f>AND(#REF!,"AAAAAG/3cSQ=")</f>
        <v>#REF!</v>
      </c>
      <c r="AL78" t="e">
        <f>AND(#REF!,"AAAAAG/3cSU=")</f>
        <v>#REF!</v>
      </c>
      <c r="AM78" t="e">
        <f>AND(#REF!,"AAAAAG/3cSY=")</f>
        <v>#REF!</v>
      </c>
      <c r="AN78" t="e">
        <f>AND(#REF!,"AAAAAG/3cSc=")</f>
        <v>#REF!</v>
      </c>
      <c r="AO78" t="e">
        <f>IF(#REF!,"AAAAAG/3cSg=",0)</f>
        <v>#REF!</v>
      </c>
      <c r="AP78" t="e">
        <f>AND(#REF!,"AAAAAG/3cSk=")</f>
        <v>#REF!</v>
      </c>
      <c r="AQ78" t="e">
        <f>AND(#REF!,"AAAAAG/3cSo=")</f>
        <v>#REF!</v>
      </c>
      <c r="AR78" t="e">
        <f>AND(#REF!,"AAAAAG/3cSs=")</f>
        <v>#REF!</v>
      </c>
      <c r="AS78" t="e">
        <f>AND(#REF!,"AAAAAG/3cSw=")</f>
        <v>#REF!</v>
      </c>
      <c r="AT78" t="e">
        <f>AND(#REF!,"AAAAAG/3cS0=")</f>
        <v>#REF!</v>
      </c>
      <c r="AU78" t="e">
        <f>AND(#REF!,"AAAAAG/3cS4=")</f>
        <v>#REF!</v>
      </c>
      <c r="AV78" t="e">
        <f>AND(#REF!,"AAAAAG/3cS8=")</f>
        <v>#REF!</v>
      </c>
      <c r="AW78" t="e">
        <f>AND(#REF!,"AAAAAG/3cTA=")</f>
        <v>#REF!</v>
      </c>
      <c r="AX78" t="e">
        <f>AND(#REF!,"AAAAAG/3cTE=")</f>
        <v>#REF!</v>
      </c>
      <c r="AY78" t="e">
        <f>AND(#REF!,"AAAAAG/3cTI=")</f>
        <v>#REF!</v>
      </c>
      <c r="AZ78" t="e">
        <f>AND(#REF!,"AAAAAG/3cTM=")</f>
        <v>#REF!</v>
      </c>
      <c r="BA78" t="e">
        <f>AND(#REF!,"AAAAAG/3cTQ=")</f>
        <v>#REF!</v>
      </c>
      <c r="BB78" t="e">
        <f>AND(#REF!,"AAAAAG/3cTU=")</f>
        <v>#REF!</v>
      </c>
      <c r="BC78" t="e">
        <f>AND(#REF!,"AAAAAG/3cTY=")</f>
        <v>#REF!</v>
      </c>
      <c r="BD78" t="e">
        <f>AND(#REF!,"AAAAAG/3cTc=")</f>
        <v>#REF!</v>
      </c>
      <c r="BE78" t="e">
        <f>AND(#REF!,"AAAAAG/3cTg=")</f>
        <v>#REF!</v>
      </c>
      <c r="BF78" t="e">
        <f>AND(#REF!,"AAAAAG/3cTk=")</f>
        <v>#REF!</v>
      </c>
      <c r="BG78" t="e">
        <f>AND(#REF!,"AAAAAG/3cTo=")</f>
        <v>#REF!</v>
      </c>
      <c r="BH78" t="e">
        <f>AND(#REF!,"AAAAAG/3cTs=")</f>
        <v>#REF!</v>
      </c>
      <c r="BI78" t="e">
        <f>AND(#REF!,"AAAAAG/3cTw=")</f>
        <v>#REF!</v>
      </c>
      <c r="BJ78" t="e">
        <f>AND(#REF!,"AAAAAG/3cT0=")</f>
        <v>#REF!</v>
      </c>
      <c r="BK78" t="e">
        <f>AND(#REF!,"AAAAAG/3cT4=")</f>
        <v>#REF!</v>
      </c>
      <c r="BL78" t="e">
        <f>AND(#REF!,"AAAAAG/3cT8=")</f>
        <v>#REF!</v>
      </c>
      <c r="BM78" t="e">
        <f>AND(#REF!,"AAAAAG/3cUA=")</f>
        <v>#REF!</v>
      </c>
      <c r="BN78" t="e">
        <f>AND(#REF!,"AAAAAG/3cUE=")</f>
        <v>#REF!</v>
      </c>
      <c r="BO78" t="e">
        <f>AND(#REF!,"AAAAAG/3cUI=")</f>
        <v>#REF!</v>
      </c>
      <c r="BP78" t="e">
        <f>AND(#REF!,"AAAAAG/3cUM=")</f>
        <v>#REF!</v>
      </c>
      <c r="BQ78" t="e">
        <f>AND(#REF!,"AAAAAG/3cUQ=")</f>
        <v>#REF!</v>
      </c>
      <c r="BR78" t="e">
        <f>AND(#REF!,"AAAAAG/3cUU=")</f>
        <v>#REF!</v>
      </c>
      <c r="BS78" t="e">
        <f>IF(#REF!,"AAAAAG/3cUY=",0)</f>
        <v>#REF!</v>
      </c>
      <c r="BT78" t="e">
        <f>AND(#REF!,"AAAAAG/3cUc=")</f>
        <v>#REF!</v>
      </c>
      <c r="BU78" t="e">
        <f>AND(#REF!,"AAAAAG/3cUg=")</f>
        <v>#REF!</v>
      </c>
      <c r="BV78" t="e">
        <f>AND(#REF!,"AAAAAG/3cUk=")</f>
        <v>#REF!</v>
      </c>
      <c r="BW78" t="e">
        <f>AND(#REF!,"AAAAAG/3cUo=")</f>
        <v>#REF!</v>
      </c>
      <c r="BX78" t="e">
        <f>AND(#REF!,"AAAAAG/3cUs=")</f>
        <v>#REF!</v>
      </c>
      <c r="BY78" t="e">
        <f>AND(#REF!,"AAAAAG/3cUw=")</f>
        <v>#REF!</v>
      </c>
      <c r="BZ78" t="e">
        <f>AND(#REF!,"AAAAAG/3cU0=")</f>
        <v>#REF!</v>
      </c>
      <c r="CA78" t="e">
        <f>AND(#REF!,"AAAAAG/3cU4=")</f>
        <v>#REF!</v>
      </c>
      <c r="CB78" t="e">
        <f>AND(#REF!,"AAAAAG/3cU8=")</f>
        <v>#REF!</v>
      </c>
      <c r="CC78" t="e">
        <f>AND(#REF!,"AAAAAG/3cVA=")</f>
        <v>#REF!</v>
      </c>
      <c r="CD78" t="e">
        <f>AND(#REF!,"AAAAAG/3cVE=")</f>
        <v>#REF!</v>
      </c>
      <c r="CE78" t="e">
        <f>AND(#REF!,"AAAAAG/3cVI=")</f>
        <v>#REF!</v>
      </c>
      <c r="CF78" t="e">
        <f>AND(#REF!,"AAAAAG/3cVM=")</f>
        <v>#REF!</v>
      </c>
      <c r="CG78" t="e">
        <f>AND(#REF!,"AAAAAG/3cVQ=")</f>
        <v>#REF!</v>
      </c>
      <c r="CH78" t="e">
        <f>AND(#REF!,"AAAAAG/3cVU=")</f>
        <v>#REF!</v>
      </c>
      <c r="CI78" t="e">
        <f>AND(#REF!,"AAAAAG/3cVY=")</f>
        <v>#REF!</v>
      </c>
      <c r="CJ78" t="e">
        <f>AND(#REF!,"AAAAAG/3cVc=")</f>
        <v>#REF!</v>
      </c>
      <c r="CK78" t="e">
        <f>AND(#REF!,"AAAAAG/3cVg=")</f>
        <v>#REF!</v>
      </c>
      <c r="CL78" t="e">
        <f>AND(#REF!,"AAAAAG/3cVk=")</f>
        <v>#REF!</v>
      </c>
      <c r="CM78" t="e">
        <f>AND(#REF!,"AAAAAG/3cVo=")</f>
        <v>#REF!</v>
      </c>
      <c r="CN78" t="e">
        <f>AND(#REF!,"AAAAAG/3cVs=")</f>
        <v>#REF!</v>
      </c>
      <c r="CO78" t="e">
        <f>AND(#REF!,"AAAAAG/3cVw=")</f>
        <v>#REF!</v>
      </c>
      <c r="CP78" t="e">
        <f>AND(#REF!,"AAAAAG/3cV0=")</f>
        <v>#REF!</v>
      </c>
      <c r="CQ78" t="e">
        <f>AND(#REF!,"AAAAAG/3cV4=")</f>
        <v>#REF!</v>
      </c>
      <c r="CR78" t="e">
        <f>AND(#REF!,"AAAAAG/3cV8=")</f>
        <v>#REF!</v>
      </c>
      <c r="CS78" t="e">
        <f>AND(#REF!,"AAAAAG/3cWA=")</f>
        <v>#REF!</v>
      </c>
      <c r="CT78" t="e">
        <f>AND(#REF!,"AAAAAG/3cWE=")</f>
        <v>#REF!</v>
      </c>
      <c r="CU78" t="e">
        <f>AND(#REF!,"AAAAAG/3cWI=")</f>
        <v>#REF!</v>
      </c>
      <c r="CV78" t="e">
        <f>AND(#REF!,"AAAAAG/3cWM=")</f>
        <v>#REF!</v>
      </c>
      <c r="CW78" t="e">
        <f>IF(#REF!,"AAAAAG/3cWQ=",0)</f>
        <v>#REF!</v>
      </c>
      <c r="CX78" t="e">
        <f>AND(#REF!,"AAAAAG/3cWU=")</f>
        <v>#REF!</v>
      </c>
      <c r="CY78" t="e">
        <f>AND(#REF!,"AAAAAG/3cWY=")</f>
        <v>#REF!</v>
      </c>
      <c r="CZ78" t="e">
        <f>AND(#REF!,"AAAAAG/3cWc=")</f>
        <v>#REF!</v>
      </c>
      <c r="DA78" t="e">
        <f>AND(#REF!,"AAAAAG/3cWg=")</f>
        <v>#REF!</v>
      </c>
      <c r="DB78" t="e">
        <f>AND(#REF!,"AAAAAG/3cWk=")</f>
        <v>#REF!</v>
      </c>
      <c r="DC78" t="e">
        <f>AND(#REF!,"AAAAAG/3cWo=")</f>
        <v>#REF!</v>
      </c>
      <c r="DD78" t="e">
        <f>AND(#REF!,"AAAAAG/3cWs=")</f>
        <v>#REF!</v>
      </c>
      <c r="DE78" t="e">
        <f>AND(#REF!,"AAAAAG/3cWw=")</f>
        <v>#REF!</v>
      </c>
      <c r="DF78" t="e">
        <f>AND(#REF!,"AAAAAG/3cW0=")</f>
        <v>#REF!</v>
      </c>
      <c r="DG78" t="e">
        <f>AND(#REF!,"AAAAAG/3cW4=")</f>
        <v>#REF!</v>
      </c>
      <c r="DH78" t="e">
        <f>AND(#REF!,"AAAAAG/3cW8=")</f>
        <v>#REF!</v>
      </c>
      <c r="DI78" t="e">
        <f>AND(#REF!,"AAAAAG/3cXA=")</f>
        <v>#REF!</v>
      </c>
      <c r="DJ78" t="e">
        <f>AND(#REF!,"AAAAAG/3cXE=")</f>
        <v>#REF!</v>
      </c>
      <c r="DK78" t="e">
        <f>AND(#REF!,"AAAAAG/3cXI=")</f>
        <v>#REF!</v>
      </c>
      <c r="DL78" t="e">
        <f>AND(#REF!,"AAAAAG/3cXM=")</f>
        <v>#REF!</v>
      </c>
      <c r="DM78" t="e">
        <f>AND(#REF!,"AAAAAG/3cXQ=")</f>
        <v>#REF!</v>
      </c>
      <c r="DN78" t="e">
        <f>AND(#REF!,"AAAAAG/3cXU=")</f>
        <v>#REF!</v>
      </c>
      <c r="DO78" t="e">
        <f>AND(#REF!,"AAAAAG/3cXY=")</f>
        <v>#REF!</v>
      </c>
      <c r="DP78" t="e">
        <f>AND(#REF!,"AAAAAG/3cXc=")</f>
        <v>#REF!</v>
      </c>
      <c r="DQ78" t="e">
        <f>AND(#REF!,"AAAAAG/3cXg=")</f>
        <v>#REF!</v>
      </c>
      <c r="DR78" t="e">
        <f>AND(#REF!,"AAAAAG/3cXk=")</f>
        <v>#REF!</v>
      </c>
      <c r="DS78" t="e">
        <f>AND(#REF!,"AAAAAG/3cXo=")</f>
        <v>#REF!</v>
      </c>
      <c r="DT78" t="e">
        <f>AND(#REF!,"AAAAAG/3cXs=")</f>
        <v>#REF!</v>
      </c>
      <c r="DU78" t="e">
        <f>AND(#REF!,"AAAAAG/3cXw=")</f>
        <v>#REF!</v>
      </c>
      <c r="DV78" t="e">
        <f>AND(#REF!,"AAAAAG/3cX0=")</f>
        <v>#REF!</v>
      </c>
      <c r="DW78" t="e">
        <f>AND(#REF!,"AAAAAG/3cX4=")</f>
        <v>#REF!</v>
      </c>
      <c r="DX78" t="e">
        <f>AND(#REF!,"AAAAAG/3cX8=")</f>
        <v>#REF!</v>
      </c>
      <c r="DY78" t="e">
        <f>AND(#REF!,"AAAAAG/3cYA=")</f>
        <v>#REF!</v>
      </c>
      <c r="DZ78" t="e">
        <f>AND(#REF!,"AAAAAG/3cYE=")</f>
        <v>#REF!</v>
      </c>
      <c r="EA78" t="e">
        <f>IF(#REF!,"AAAAAG/3cYI=",0)</f>
        <v>#REF!</v>
      </c>
      <c r="EB78" t="e">
        <f>IF(#REF!,"AAAAAG/3cYM=",0)</f>
        <v>#REF!</v>
      </c>
      <c r="EC78" t="e">
        <f>IF(#REF!,"AAAAAG/3cYQ=",0)</f>
        <v>#REF!</v>
      </c>
      <c r="ED78" t="e">
        <f>IF(#REF!,"AAAAAG/3cYU=",0)</f>
        <v>#REF!</v>
      </c>
      <c r="EE78" t="e">
        <f>IF(#REF!,"AAAAAG/3cYY=",0)</f>
        <v>#REF!</v>
      </c>
      <c r="EF78" t="e">
        <f>IF(#REF!,"AAAAAG/3cYc=",0)</f>
        <v>#REF!</v>
      </c>
      <c r="EG78" t="e">
        <f>IF(#REF!,"AAAAAG/3cYg=",0)</f>
        <v>#REF!</v>
      </c>
      <c r="EH78" t="e">
        <f>IF(#REF!,"AAAAAG/3cYk=",0)</f>
        <v>#REF!</v>
      </c>
      <c r="EI78" t="e">
        <f>IF(#REF!,"AAAAAG/3cYo=",0)</f>
        <v>#REF!</v>
      </c>
      <c r="EJ78" t="e">
        <f>IF(#REF!,"AAAAAG/3cYs=",0)</f>
        <v>#REF!</v>
      </c>
      <c r="EK78" t="e">
        <f>IF(#REF!,"AAAAAG/3cYw=",0)</f>
        <v>#REF!</v>
      </c>
      <c r="EL78" t="e">
        <f>IF(#REF!,"AAAAAG/3cY0=",0)</f>
        <v>#REF!</v>
      </c>
      <c r="EM78" t="e">
        <f>IF(#REF!,"AAAAAG/3cY4=",0)</f>
        <v>#REF!</v>
      </c>
      <c r="EN78" t="e">
        <f>IF(#REF!,"AAAAAG/3cY8=",0)</f>
        <v>#REF!</v>
      </c>
      <c r="EO78" t="e">
        <f>IF(#REF!,"AAAAAG/3cZA=",0)</f>
        <v>#REF!</v>
      </c>
      <c r="EP78" t="e">
        <f>IF(#REF!,"AAAAAG/3cZE=",0)</f>
        <v>#REF!</v>
      </c>
      <c r="EQ78" t="e">
        <f>IF(#REF!,"AAAAAG/3cZI=",0)</f>
        <v>#REF!</v>
      </c>
      <c r="ER78" t="e">
        <f>IF(#REF!,"AAAAAG/3cZM=",0)</f>
        <v>#REF!</v>
      </c>
      <c r="ES78" t="e">
        <f>IF(#REF!,"AAAAAG/3cZQ=",0)</f>
        <v>#REF!</v>
      </c>
      <c r="ET78" t="e">
        <f>IF(#REF!,"AAAAAG/3cZU=",0)</f>
        <v>#REF!</v>
      </c>
      <c r="EU78" t="e">
        <f>IF(#REF!,"AAAAAG/3cZY=",0)</f>
        <v>#REF!</v>
      </c>
      <c r="EV78" t="e">
        <f>IF(#REF!,"AAAAAG/3cZc=",0)</f>
        <v>#REF!</v>
      </c>
      <c r="EW78" t="e">
        <f>IF(#REF!,"AAAAAG/3cZg=",0)</f>
        <v>#REF!</v>
      </c>
      <c r="EX78" t="e">
        <f>IF(#REF!,"AAAAAG/3cZk=",0)</f>
        <v>#REF!</v>
      </c>
      <c r="EY78" t="e">
        <f>IF(#REF!,"AAAAAG/3cZo=",0)</f>
        <v>#REF!</v>
      </c>
      <c r="EZ78" t="e">
        <f>IF(#REF!,"AAAAAG/3cZs=",0)</f>
        <v>#REF!</v>
      </c>
      <c r="FA78" t="e">
        <f>IF(#REF!,"AAAAAG/3cZw=",0)</f>
        <v>#REF!</v>
      </c>
      <c r="FB78" t="e">
        <f>IF(#REF!,"AAAAAG/3cZ0=",0)</f>
        <v>#REF!</v>
      </c>
      <c r="FC78" t="e">
        <f>IF(#REF!,"AAAAAG/3cZ4=",0)</f>
        <v>#REF!</v>
      </c>
      <c r="FD78" t="e">
        <f>IF(#REF!,"AAAAAG/3cZ8=",0)</f>
        <v>#REF!</v>
      </c>
      <c r="FE78" t="e">
        <f>IF(#REF!,"AAAAAG/3caA=",0)</f>
        <v>#REF!</v>
      </c>
      <c r="FF78" t="e">
        <f>IF(#REF!,"AAAAAG/3caE=",0)</f>
        <v>#REF!</v>
      </c>
      <c r="FG78" t="e">
        <f>IF(#REF!,"AAAAAG/3caI=",0)</f>
        <v>#REF!</v>
      </c>
      <c r="FH78" t="e">
        <f>IF(#REF!,"AAAAAG/3caM=",0)</f>
        <v>#REF!</v>
      </c>
      <c r="FI78" t="e">
        <f>AND(#REF!,"AAAAAG/3caQ=")</f>
        <v>#REF!</v>
      </c>
      <c r="FJ78" t="e">
        <f>AND(#REF!,"AAAAAG/3caU=")</f>
        <v>#REF!</v>
      </c>
      <c r="FK78" t="e">
        <f>AND(#REF!,"AAAAAG/3caY=")</f>
        <v>#REF!</v>
      </c>
      <c r="FL78" t="e">
        <f>AND(#REF!,"AAAAAG/3cac=")</f>
        <v>#REF!</v>
      </c>
      <c r="FM78" t="e">
        <f>AND(#REF!,"AAAAAG/3cag=")</f>
        <v>#REF!</v>
      </c>
      <c r="FN78" t="e">
        <f>AND(#REF!,"AAAAAG/3cak=")</f>
        <v>#REF!</v>
      </c>
      <c r="FO78" t="e">
        <f>AND(#REF!,"AAAAAG/3cao=")</f>
        <v>#REF!</v>
      </c>
      <c r="FP78" t="e">
        <f>AND(#REF!,"AAAAAG/3cas=")</f>
        <v>#REF!</v>
      </c>
      <c r="FQ78" t="e">
        <f>AND(#REF!,"AAAAAG/3caw=")</f>
        <v>#REF!</v>
      </c>
      <c r="FR78" t="e">
        <f>AND(#REF!,"AAAAAG/3ca0=")</f>
        <v>#REF!</v>
      </c>
      <c r="FS78" t="e">
        <f>AND(#REF!,"AAAAAG/3ca4=")</f>
        <v>#REF!</v>
      </c>
      <c r="FT78" t="e">
        <f>AND(#REF!,"AAAAAG/3ca8=")</f>
        <v>#REF!</v>
      </c>
      <c r="FU78" t="e">
        <f>AND(#REF!,"AAAAAG/3cbA=")</f>
        <v>#REF!</v>
      </c>
      <c r="FV78" t="e">
        <f>AND(#REF!,"AAAAAG/3cbE=")</f>
        <v>#REF!</v>
      </c>
      <c r="FW78" t="e">
        <f>AND(#REF!,"AAAAAG/3cbI=")</f>
        <v>#REF!</v>
      </c>
      <c r="FX78" t="e">
        <f>AND(#REF!,"AAAAAG/3cbM=")</f>
        <v>#REF!</v>
      </c>
      <c r="FY78" t="e">
        <f>AND(#REF!,"AAAAAG/3cbQ=")</f>
        <v>#REF!</v>
      </c>
      <c r="FZ78" t="e">
        <f>AND(#REF!,"AAAAAG/3cbU=")</f>
        <v>#REF!</v>
      </c>
      <c r="GA78" t="e">
        <f>AND(#REF!,"AAAAAG/3cbY=")</f>
        <v>#REF!</v>
      </c>
      <c r="GB78" t="e">
        <f>AND(#REF!,"AAAAAG/3cbc=")</f>
        <v>#REF!</v>
      </c>
      <c r="GC78" t="e">
        <f>AND(#REF!,"AAAAAG/3cbg=")</f>
        <v>#REF!</v>
      </c>
      <c r="GD78" t="e">
        <f>AND(#REF!,"AAAAAG/3cbk=")</f>
        <v>#REF!</v>
      </c>
      <c r="GE78" t="e">
        <f>AND(#REF!,"AAAAAG/3cbo=")</f>
        <v>#REF!</v>
      </c>
      <c r="GF78" t="e">
        <f>AND(#REF!,"AAAAAG/3cbs=")</f>
        <v>#REF!</v>
      </c>
      <c r="GG78" t="e">
        <f>AND(#REF!,"AAAAAG/3cbw=")</f>
        <v>#REF!</v>
      </c>
      <c r="GH78" t="e">
        <f>AND(#REF!,"AAAAAG/3cb0=")</f>
        <v>#REF!</v>
      </c>
      <c r="GI78" t="e">
        <f>AND(#REF!,"AAAAAG/3cb4=")</f>
        <v>#REF!</v>
      </c>
      <c r="GJ78" t="e">
        <f>AND(#REF!,"AAAAAG/3cb8=")</f>
        <v>#REF!</v>
      </c>
      <c r="GK78" t="e">
        <f>AND(#REF!,"AAAAAG/3ccA=")</f>
        <v>#REF!</v>
      </c>
      <c r="GL78" t="e">
        <f>AND(#REF!,"AAAAAG/3ccE=")</f>
        <v>#REF!</v>
      </c>
      <c r="GM78" t="e">
        <f>AND(#REF!,"AAAAAG/3ccI=")</f>
        <v>#REF!</v>
      </c>
      <c r="GN78" t="e">
        <f>AND(#REF!,"AAAAAG/3ccM=")</f>
        <v>#REF!</v>
      </c>
      <c r="GO78" t="e">
        <f>AND(#REF!,"AAAAAG/3ccQ=")</f>
        <v>#REF!</v>
      </c>
      <c r="GP78" t="e">
        <f>AND(#REF!,"AAAAAG/3ccU=")</f>
        <v>#REF!</v>
      </c>
      <c r="GQ78" t="e">
        <f>AND(#REF!,"AAAAAG/3ccY=")</f>
        <v>#REF!</v>
      </c>
      <c r="GR78" t="e">
        <f>AND(#REF!,"AAAAAG/3ccc=")</f>
        <v>#REF!</v>
      </c>
      <c r="GS78" t="e">
        <f>AND(#REF!,"AAAAAG/3ccg=")</f>
        <v>#REF!</v>
      </c>
      <c r="GT78" t="e">
        <f>AND(#REF!,"AAAAAG/3cck=")</f>
        <v>#REF!</v>
      </c>
      <c r="GU78" t="e">
        <f>AND(#REF!,"AAAAAG/3cco=")</f>
        <v>#REF!</v>
      </c>
      <c r="GV78" t="e">
        <f>AND(#REF!,"AAAAAG/3ccs=")</f>
        <v>#REF!</v>
      </c>
      <c r="GW78" t="e">
        <f>AND(#REF!,"AAAAAG/3ccw=")</f>
        <v>#REF!</v>
      </c>
      <c r="GX78" t="e">
        <f>IF(#REF!,"AAAAAG/3cc0=",0)</f>
        <v>#REF!</v>
      </c>
      <c r="GY78" t="e">
        <f>AND(#REF!,"AAAAAG/3cc4=")</f>
        <v>#REF!</v>
      </c>
      <c r="GZ78" t="e">
        <f>AND(#REF!,"AAAAAG/3cc8=")</f>
        <v>#REF!</v>
      </c>
      <c r="HA78" t="e">
        <f>AND(#REF!,"AAAAAG/3cdA=")</f>
        <v>#REF!</v>
      </c>
      <c r="HB78" t="e">
        <f>AND(#REF!,"AAAAAG/3cdE=")</f>
        <v>#REF!</v>
      </c>
      <c r="HC78" t="e">
        <f>AND(#REF!,"AAAAAG/3cdI=")</f>
        <v>#REF!</v>
      </c>
      <c r="HD78" t="e">
        <f>AND(#REF!,"AAAAAG/3cdM=")</f>
        <v>#REF!</v>
      </c>
      <c r="HE78" t="e">
        <f>AND(#REF!,"AAAAAG/3cdQ=")</f>
        <v>#REF!</v>
      </c>
      <c r="HF78" t="e">
        <f>AND(#REF!,"AAAAAG/3cdU=")</f>
        <v>#REF!</v>
      </c>
      <c r="HG78" t="e">
        <f>AND(#REF!,"AAAAAG/3cdY=")</f>
        <v>#REF!</v>
      </c>
      <c r="HH78" t="e">
        <f>AND(#REF!,"AAAAAG/3cdc=")</f>
        <v>#REF!</v>
      </c>
      <c r="HI78" t="e">
        <f>AND(#REF!,"AAAAAG/3cdg=")</f>
        <v>#REF!</v>
      </c>
      <c r="HJ78" t="e">
        <f>AND(#REF!,"AAAAAG/3cdk=")</f>
        <v>#REF!</v>
      </c>
      <c r="HK78" t="e">
        <f>AND(#REF!,"AAAAAG/3cdo=")</f>
        <v>#REF!</v>
      </c>
      <c r="HL78" t="e">
        <f>AND(#REF!,"AAAAAG/3cds=")</f>
        <v>#REF!</v>
      </c>
      <c r="HM78" t="e">
        <f>AND(#REF!,"AAAAAG/3cdw=")</f>
        <v>#REF!</v>
      </c>
      <c r="HN78" t="e">
        <f>AND(#REF!,"AAAAAG/3cd0=")</f>
        <v>#REF!</v>
      </c>
      <c r="HO78" t="e">
        <f>AND(#REF!,"AAAAAG/3cd4=")</f>
        <v>#REF!</v>
      </c>
      <c r="HP78" t="e">
        <f>AND(#REF!,"AAAAAG/3cd8=")</f>
        <v>#REF!</v>
      </c>
      <c r="HQ78" t="e">
        <f>AND(#REF!,"AAAAAG/3ceA=")</f>
        <v>#REF!</v>
      </c>
      <c r="HR78" t="e">
        <f>AND(#REF!,"AAAAAG/3ceE=")</f>
        <v>#REF!</v>
      </c>
      <c r="HS78" t="e">
        <f>AND(#REF!,"AAAAAG/3ceI=")</f>
        <v>#REF!</v>
      </c>
      <c r="HT78" t="e">
        <f>AND(#REF!,"AAAAAG/3ceM=")</f>
        <v>#REF!</v>
      </c>
      <c r="HU78" t="e">
        <f>AND(#REF!,"AAAAAG/3ceQ=")</f>
        <v>#REF!</v>
      </c>
      <c r="HV78" t="e">
        <f>AND(#REF!,"AAAAAG/3ceU=")</f>
        <v>#REF!</v>
      </c>
      <c r="HW78" t="e">
        <f>AND(#REF!,"AAAAAG/3ceY=")</f>
        <v>#REF!</v>
      </c>
      <c r="HX78" t="e">
        <f>AND(#REF!,"AAAAAG/3cec=")</f>
        <v>#REF!</v>
      </c>
      <c r="HY78" t="e">
        <f>AND(#REF!,"AAAAAG/3ceg=")</f>
        <v>#REF!</v>
      </c>
      <c r="HZ78" t="e">
        <f>AND(#REF!,"AAAAAG/3cek=")</f>
        <v>#REF!</v>
      </c>
      <c r="IA78" t="e">
        <f>AND(#REF!,"AAAAAG/3ceo=")</f>
        <v>#REF!</v>
      </c>
      <c r="IB78" t="e">
        <f>AND(#REF!,"AAAAAG/3ces=")</f>
        <v>#REF!</v>
      </c>
      <c r="IC78" t="e">
        <f>AND(#REF!,"AAAAAG/3cew=")</f>
        <v>#REF!</v>
      </c>
      <c r="ID78" t="e">
        <f>AND(#REF!,"AAAAAG/3ce0=")</f>
        <v>#REF!</v>
      </c>
      <c r="IE78" t="e">
        <f>AND(#REF!,"AAAAAG/3ce4=")</f>
        <v>#REF!</v>
      </c>
      <c r="IF78" t="e">
        <f>AND(#REF!,"AAAAAG/3ce8=")</f>
        <v>#REF!</v>
      </c>
      <c r="IG78" t="e">
        <f>AND(#REF!,"AAAAAG/3cfA=")</f>
        <v>#REF!</v>
      </c>
      <c r="IH78" t="e">
        <f>AND(#REF!,"AAAAAG/3cfE=")</f>
        <v>#REF!</v>
      </c>
      <c r="II78" t="e">
        <f>AND(#REF!,"AAAAAG/3cfI=")</f>
        <v>#REF!</v>
      </c>
      <c r="IJ78" t="e">
        <f>AND(#REF!,"AAAAAG/3cfM=")</f>
        <v>#REF!</v>
      </c>
      <c r="IK78" t="e">
        <f>AND(#REF!,"AAAAAG/3cfQ=")</f>
        <v>#REF!</v>
      </c>
      <c r="IL78" t="e">
        <f>AND(#REF!,"AAAAAG/3cfU=")</f>
        <v>#REF!</v>
      </c>
      <c r="IM78" t="e">
        <f>AND(#REF!,"AAAAAG/3cfY=")</f>
        <v>#REF!</v>
      </c>
      <c r="IN78" t="e">
        <f>IF(#REF!,"AAAAAG/3cfc=",0)</f>
        <v>#REF!</v>
      </c>
      <c r="IO78" t="e">
        <f>AND(#REF!,"AAAAAG/3cfg=")</f>
        <v>#REF!</v>
      </c>
      <c r="IP78" t="e">
        <f>AND(#REF!,"AAAAAG/3cfk=")</f>
        <v>#REF!</v>
      </c>
      <c r="IQ78" t="e">
        <f>AND(#REF!,"AAAAAG/3cfo=")</f>
        <v>#REF!</v>
      </c>
      <c r="IR78" t="e">
        <f>AND(#REF!,"AAAAAG/3cfs=")</f>
        <v>#REF!</v>
      </c>
      <c r="IS78" t="e">
        <f>AND(#REF!,"AAAAAG/3cfw=")</f>
        <v>#REF!</v>
      </c>
      <c r="IT78" t="e">
        <f>AND(#REF!,"AAAAAG/3cf0=")</f>
        <v>#REF!</v>
      </c>
      <c r="IU78" t="e">
        <f>AND(#REF!,"AAAAAG/3cf4=")</f>
        <v>#REF!</v>
      </c>
      <c r="IV78" t="e">
        <f>AND(#REF!,"AAAAAG/3cf8=")</f>
        <v>#REF!</v>
      </c>
    </row>
    <row r="79" spans="1:256">
      <c r="A79" t="e">
        <f>AND(#REF!,"AAAAAH359AA=")</f>
        <v>#REF!</v>
      </c>
      <c r="B79" t="e">
        <f>AND(#REF!,"AAAAAH359AE=")</f>
        <v>#REF!</v>
      </c>
      <c r="C79" t="e">
        <f>AND(#REF!,"AAAAAH359AI=")</f>
        <v>#REF!</v>
      </c>
      <c r="D79" t="e">
        <f>AND(#REF!,"AAAAAH359AM=")</f>
        <v>#REF!</v>
      </c>
      <c r="E79" t="e">
        <f>AND(#REF!,"AAAAAH359AQ=")</f>
        <v>#REF!</v>
      </c>
      <c r="F79" t="e">
        <f>AND(#REF!,"AAAAAH359AU=")</f>
        <v>#REF!</v>
      </c>
      <c r="G79" t="e">
        <f>AND(#REF!,"AAAAAH359AY=")</f>
        <v>#REF!</v>
      </c>
      <c r="H79" t="e">
        <f>AND(#REF!,"AAAAAH359Ac=")</f>
        <v>#REF!</v>
      </c>
      <c r="I79" t="e">
        <f>AND(#REF!,"AAAAAH359Ag=")</f>
        <v>#REF!</v>
      </c>
      <c r="J79" t="e">
        <f>AND(#REF!,"AAAAAH359Ak=")</f>
        <v>#REF!</v>
      </c>
      <c r="K79" t="e">
        <f>AND(#REF!,"AAAAAH359Ao=")</f>
        <v>#REF!</v>
      </c>
      <c r="L79" t="e">
        <f>AND(#REF!,"AAAAAH359As=")</f>
        <v>#REF!</v>
      </c>
      <c r="M79" t="e">
        <f>AND(#REF!,"AAAAAH359Aw=")</f>
        <v>#REF!</v>
      </c>
      <c r="N79" t="e">
        <f>AND(#REF!,"AAAAAH359A0=")</f>
        <v>#REF!</v>
      </c>
      <c r="O79" t="e">
        <f>AND(#REF!,"AAAAAH359A4=")</f>
        <v>#REF!</v>
      </c>
      <c r="P79" t="e">
        <f>AND(#REF!,"AAAAAH359A8=")</f>
        <v>#REF!</v>
      </c>
      <c r="Q79" t="e">
        <f>AND(#REF!,"AAAAAH359BA=")</f>
        <v>#REF!</v>
      </c>
      <c r="R79" t="e">
        <f>AND(#REF!,"AAAAAH359BE=")</f>
        <v>#REF!</v>
      </c>
      <c r="S79" t="e">
        <f>AND(#REF!,"AAAAAH359BI=")</f>
        <v>#REF!</v>
      </c>
      <c r="T79" t="e">
        <f>AND(#REF!,"AAAAAH359BM=")</f>
        <v>#REF!</v>
      </c>
      <c r="U79" t="e">
        <f>AND(#REF!,"AAAAAH359BQ=")</f>
        <v>#REF!</v>
      </c>
      <c r="V79" t="e">
        <f>AND(#REF!,"AAAAAH359BU=")</f>
        <v>#REF!</v>
      </c>
      <c r="W79" t="e">
        <f>AND(#REF!,"AAAAAH359BY=")</f>
        <v>#REF!</v>
      </c>
      <c r="X79" t="e">
        <f>AND(#REF!,"AAAAAH359Bc=")</f>
        <v>#REF!</v>
      </c>
      <c r="Y79" t="e">
        <f>AND(#REF!,"AAAAAH359Bg=")</f>
        <v>#REF!</v>
      </c>
      <c r="Z79" t="e">
        <f>AND(#REF!,"AAAAAH359Bk=")</f>
        <v>#REF!</v>
      </c>
      <c r="AA79" t="e">
        <f>AND(#REF!,"AAAAAH359Bo=")</f>
        <v>#REF!</v>
      </c>
      <c r="AB79" t="e">
        <f>AND(#REF!,"AAAAAH359Bs=")</f>
        <v>#REF!</v>
      </c>
      <c r="AC79" t="e">
        <f>AND(#REF!,"AAAAAH359Bw=")</f>
        <v>#REF!</v>
      </c>
      <c r="AD79" t="e">
        <f>AND(#REF!,"AAAAAH359B0=")</f>
        <v>#REF!</v>
      </c>
      <c r="AE79" t="e">
        <f>AND(#REF!,"AAAAAH359B4=")</f>
        <v>#REF!</v>
      </c>
      <c r="AF79" t="e">
        <f>AND(#REF!,"AAAAAH359B8=")</f>
        <v>#REF!</v>
      </c>
      <c r="AG79" t="e">
        <f>AND(#REF!,"AAAAAH359CA=")</f>
        <v>#REF!</v>
      </c>
      <c r="AH79" t="e">
        <f>IF(#REF!,"AAAAAH359CE=",0)</f>
        <v>#REF!</v>
      </c>
      <c r="AI79" t="e">
        <f>AND(#REF!,"AAAAAH359CI=")</f>
        <v>#REF!</v>
      </c>
      <c r="AJ79" t="e">
        <f>AND(#REF!,"AAAAAH359CM=")</f>
        <v>#REF!</v>
      </c>
      <c r="AK79" t="e">
        <f>AND(#REF!,"AAAAAH359CQ=")</f>
        <v>#REF!</v>
      </c>
      <c r="AL79" t="e">
        <f>AND(#REF!,"AAAAAH359CU=")</f>
        <v>#REF!</v>
      </c>
      <c r="AM79" t="e">
        <f>AND(#REF!,"AAAAAH359CY=")</f>
        <v>#REF!</v>
      </c>
      <c r="AN79" t="e">
        <f>AND(#REF!,"AAAAAH359Cc=")</f>
        <v>#REF!</v>
      </c>
      <c r="AO79" t="e">
        <f>AND(#REF!,"AAAAAH359Cg=")</f>
        <v>#REF!</v>
      </c>
      <c r="AP79" t="e">
        <f>AND(#REF!,"AAAAAH359Ck=")</f>
        <v>#REF!</v>
      </c>
      <c r="AQ79" t="e">
        <f>AND(#REF!,"AAAAAH359Co=")</f>
        <v>#REF!</v>
      </c>
      <c r="AR79" t="e">
        <f>AND(#REF!,"AAAAAH359Cs=")</f>
        <v>#REF!</v>
      </c>
      <c r="AS79" t="e">
        <f>AND(#REF!,"AAAAAH359Cw=")</f>
        <v>#REF!</v>
      </c>
      <c r="AT79" t="e">
        <f>AND(#REF!,"AAAAAH359C0=")</f>
        <v>#REF!</v>
      </c>
      <c r="AU79" t="e">
        <f>AND(#REF!,"AAAAAH359C4=")</f>
        <v>#REF!</v>
      </c>
      <c r="AV79" t="e">
        <f>AND(#REF!,"AAAAAH359C8=")</f>
        <v>#REF!</v>
      </c>
      <c r="AW79" t="e">
        <f>AND(#REF!,"AAAAAH359DA=")</f>
        <v>#REF!</v>
      </c>
      <c r="AX79" t="e">
        <f>AND(#REF!,"AAAAAH359DE=")</f>
        <v>#REF!</v>
      </c>
      <c r="AY79" t="e">
        <f>AND(#REF!,"AAAAAH359DI=")</f>
        <v>#REF!</v>
      </c>
      <c r="AZ79" t="e">
        <f>AND(#REF!,"AAAAAH359DM=")</f>
        <v>#REF!</v>
      </c>
      <c r="BA79" t="e">
        <f>AND(#REF!,"AAAAAH359DQ=")</f>
        <v>#REF!</v>
      </c>
      <c r="BB79" t="e">
        <f>AND(#REF!,"AAAAAH359DU=")</f>
        <v>#REF!</v>
      </c>
      <c r="BC79" t="e">
        <f>AND(#REF!,"AAAAAH359DY=")</f>
        <v>#REF!</v>
      </c>
      <c r="BD79" t="e">
        <f>AND(#REF!,"AAAAAH359Dc=")</f>
        <v>#REF!</v>
      </c>
      <c r="BE79" t="e">
        <f>AND(#REF!,"AAAAAH359Dg=")</f>
        <v>#REF!</v>
      </c>
      <c r="BF79" t="e">
        <f>AND(#REF!,"AAAAAH359Dk=")</f>
        <v>#REF!</v>
      </c>
      <c r="BG79" t="e">
        <f>AND(#REF!,"AAAAAH359Do=")</f>
        <v>#REF!</v>
      </c>
      <c r="BH79" t="e">
        <f>AND(#REF!,"AAAAAH359Ds=")</f>
        <v>#REF!</v>
      </c>
      <c r="BI79" t="e">
        <f>AND(#REF!,"AAAAAH359Dw=")</f>
        <v>#REF!</v>
      </c>
      <c r="BJ79" t="e">
        <f>AND(#REF!,"AAAAAH359D0=")</f>
        <v>#REF!</v>
      </c>
      <c r="BK79" t="e">
        <f>AND(#REF!,"AAAAAH359D4=")</f>
        <v>#REF!</v>
      </c>
      <c r="BL79" t="e">
        <f>AND(#REF!,"AAAAAH359D8=")</f>
        <v>#REF!</v>
      </c>
      <c r="BM79" t="e">
        <f>AND(#REF!,"AAAAAH359EA=")</f>
        <v>#REF!</v>
      </c>
      <c r="BN79" t="e">
        <f>AND(#REF!,"AAAAAH359EE=")</f>
        <v>#REF!</v>
      </c>
      <c r="BO79" t="e">
        <f>AND(#REF!,"AAAAAH359EI=")</f>
        <v>#REF!</v>
      </c>
      <c r="BP79" t="e">
        <f>AND(#REF!,"AAAAAH359EM=")</f>
        <v>#REF!</v>
      </c>
      <c r="BQ79" t="e">
        <f>AND(#REF!,"AAAAAH359EQ=")</f>
        <v>#REF!</v>
      </c>
      <c r="BR79" t="e">
        <f>AND(#REF!,"AAAAAH359EU=")</f>
        <v>#REF!</v>
      </c>
      <c r="BS79" t="e">
        <f>AND(#REF!,"AAAAAH359EY=")</f>
        <v>#REF!</v>
      </c>
      <c r="BT79" t="e">
        <f>AND(#REF!,"AAAAAH359Ec=")</f>
        <v>#REF!</v>
      </c>
      <c r="BU79" t="e">
        <f>AND(#REF!,"AAAAAH359Eg=")</f>
        <v>#REF!</v>
      </c>
      <c r="BV79" t="e">
        <f>AND(#REF!,"AAAAAH359Ek=")</f>
        <v>#REF!</v>
      </c>
      <c r="BW79" t="e">
        <f>AND(#REF!,"AAAAAH359Eo=")</f>
        <v>#REF!</v>
      </c>
      <c r="BX79" t="e">
        <f>IF(#REF!,"AAAAAH359Es=",0)</f>
        <v>#REF!</v>
      </c>
      <c r="BY79" t="e">
        <f>AND(#REF!,"AAAAAH359Ew=")</f>
        <v>#REF!</v>
      </c>
      <c r="BZ79" t="e">
        <f>AND(#REF!,"AAAAAH359E0=")</f>
        <v>#REF!</v>
      </c>
      <c r="CA79" t="e">
        <f>AND(#REF!,"AAAAAH359E4=")</f>
        <v>#REF!</v>
      </c>
      <c r="CB79" t="e">
        <f>AND(#REF!,"AAAAAH359E8=")</f>
        <v>#REF!</v>
      </c>
      <c r="CC79" t="e">
        <f>AND(#REF!,"AAAAAH359FA=")</f>
        <v>#REF!</v>
      </c>
      <c r="CD79" t="e">
        <f>AND(#REF!,"AAAAAH359FE=")</f>
        <v>#REF!</v>
      </c>
      <c r="CE79" t="e">
        <f>AND(#REF!,"AAAAAH359FI=")</f>
        <v>#REF!</v>
      </c>
      <c r="CF79" t="e">
        <f>AND(#REF!,"AAAAAH359FM=")</f>
        <v>#REF!</v>
      </c>
      <c r="CG79" t="e">
        <f>AND(#REF!,"AAAAAH359FQ=")</f>
        <v>#REF!</v>
      </c>
      <c r="CH79" t="e">
        <f>AND(#REF!,"AAAAAH359FU=")</f>
        <v>#REF!</v>
      </c>
      <c r="CI79" t="e">
        <f>AND(#REF!,"AAAAAH359FY=")</f>
        <v>#REF!</v>
      </c>
      <c r="CJ79" t="e">
        <f>AND(#REF!,"AAAAAH359Fc=")</f>
        <v>#REF!</v>
      </c>
      <c r="CK79" t="e">
        <f>AND(#REF!,"AAAAAH359Fg=")</f>
        <v>#REF!</v>
      </c>
      <c r="CL79" t="e">
        <f>AND(#REF!,"AAAAAH359Fk=")</f>
        <v>#REF!</v>
      </c>
      <c r="CM79" t="e">
        <f>AND(#REF!,"AAAAAH359Fo=")</f>
        <v>#REF!</v>
      </c>
      <c r="CN79" t="e">
        <f>AND(#REF!,"AAAAAH359Fs=")</f>
        <v>#REF!</v>
      </c>
      <c r="CO79" t="e">
        <f>AND(#REF!,"AAAAAH359Fw=")</f>
        <v>#REF!</v>
      </c>
      <c r="CP79" t="e">
        <f>AND(#REF!,"AAAAAH359F0=")</f>
        <v>#REF!</v>
      </c>
      <c r="CQ79" t="e">
        <f>AND(#REF!,"AAAAAH359F4=")</f>
        <v>#REF!</v>
      </c>
      <c r="CR79" t="e">
        <f>AND(#REF!,"AAAAAH359F8=")</f>
        <v>#REF!</v>
      </c>
      <c r="CS79" t="e">
        <f>AND(#REF!,"AAAAAH359GA=")</f>
        <v>#REF!</v>
      </c>
      <c r="CT79" t="e">
        <f>AND(#REF!,"AAAAAH359GE=")</f>
        <v>#REF!</v>
      </c>
      <c r="CU79" t="e">
        <f>AND(#REF!,"AAAAAH359GI=")</f>
        <v>#REF!</v>
      </c>
      <c r="CV79" t="e">
        <f>AND(#REF!,"AAAAAH359GM=")</f>
        <v>#REF!</v>
      </c>
      <c r="CW79" t="e">
        <f>AND(#REF!,"AAAAAH359GQ=")</f>
        <v>#REF!</v>
      </c>
      <c r="CX79" t="e">
        <f>AND(#REF!,"AAAAAH359GU=")</f>
        <v>#REF!</v>
      </c>
      <c r="CY79" t="e">
        <f>AND(#REF!,"AAAAAH359GY=")</f>
        <v>#REF!</v>
      </c>
      <c r="CZ79" t="e">
        <f>AND(#REF!,"AAAAAH359Gc=")</f>
        <v>#REF!</v>
      </c>
      <c r="DA79" t="e">
        <f>AND(#REF!,"AAAAAH359Gg=")</f>
        <v>#REF!</v>
      </c>
      <c r="DB79" t="e">
        <f>AND(#REF!,"AAAAAH359Gk=")</f>
        <v>#REF!</v>
      </c>
      <c r="DC79" t="e">
        <f>AND(#REF!,"AAAAAH359Go=")</f>
        <v>#REF!</v>
      </c>
      <c r="DD79" t="e">
        <f>AND(#REF!,"AAAAAH359Gs=")</f>
        <v>#REF!</v>
      </c>
      <c r="DE79" t="e">
        <f>AND(#REF!,"AAAAAH359Gw=")</f>
        <v>#REF!</v>
      </c>
      <c r="DF79" t="e">
        <f>AND(#REF!,"AAAAAH359G0=")</f>
        <v>#REF!</v>
      </c>
      <c r="DG79" t="e">
        <f>AND(#REF!,"AAAAAH359G4=")</f>
        <v>#REF!</v>
      </c>
      <c r="DH79" t="e">
        <f>AND(#REF!,"AAAAAH359G8=")</f>
        <v>#REF!</v>
      </c>
      <c r="DI79" t="e">
        <f>AND(#REF!,"AAAAAH359HA=")</f>
        <v>#REF!</v>
      </c>
      <c r="DJ79" t="e">
        <f>AND(#REF!,"AAAAAH359HE=")</f>
        <v>#REF!</v>
      </c>
      <c r="DK79" t="e">
        <f>AND(#REF!,"AAAAAH359HI=")</f>
        <v>#REF!</v>
      </c>
      <c r="DL79" t="e">
        <f>AND(#REF!,"AAAAAH359HM=")</f>
        <v>#REF!</v>
      </c>
      <c r="DM79" t="e">
        <f>AND(#REF!,"AAAAAH359HQ=")</f>
        <v>#REF!</v>
      </c>
      <c r="DN79" t="e">
        <f>IF(#REF!,"AAAAAH359HU=",0)</f>
        <v>#REF!</v>
      </c>
      <c r="DO79" t="e">
        <f>AND(#REF!,"AAAAAH359HY=")</f>
        <v>#REF!</v>
      </c>
      <c r="DP79" t="e">
        <f>AND(#REF!,"AAAAAH359Hc=")</f>
        <v>#REF!</v>
      </c>
      <c r="DQ79" t="e">
        <f>AND(#REF!,"AAAAAH359Hg=")</f>
        <v>#REF!</v>
      </c>
      <c r="DR79" t="e">
        <f>AND(#REF!,"AAAAAH359Hk=")</f>
        <v>#REF!</v>
      </c>
      <c r="DS79" t="e">
        <f>AND(#REF!,"AAAAAH359Ho=")</f>
        <v>#REF!</v>
      </c>
      <c r="DT79" t="e">
        <f>AND(#REF!,"AAAAAH359Hs=")</f>
        <v>#REF!</v>
      </c>
      <c r="DU79" t="e">
        <f>AND(#REF!,"AAAAAH359Hw=")</f>
        <v>#REF!</v>
      </c>
      <c r="DV79" t="e">
        <f>AND(#REF!,"AAAAAH359H0=")</f>
        <v>#REF!</v>
      </c>
      <c r="DW79" t="e">
        <f>AND(#REF!,"AAAAAH359H4=")</f>
        <v>#REF!</v>
      </c>
      <c r="DX79" t="e">
        <f>AND(#REF!,"AAAAAH359H8=")</f>
        <v>#REF!</v>
      </c>
      <c r="DY79" t="e">
        <f>AND(#REF!,"AAAAAH359IA=")</f>
        <v>#REF!</v>
      </c>
      <c r="DZ79" t="e">
        <f>AND(#REF!,"AAAAAH359IE=")</f>
        <v>#REF!</v>
      </c>
      <c r="EA79" t="e">
        <f>AND(#REF!,"AAAAAH359II=")</f>
        <v>#REF!</v>
      </c>
      <c r="EB79" t="e">
        <f>AND(#REF!,"AAAAAH359IM=")</f>
        <v>#REF!</v>
      </c>
      <c r="EC79" t="e">
        <f>AND(#REF!,"AAAAAH359IQ=")</f>
        <v>#REF!</v>
      </c>
      <c r="ED79" t="e">
        <f>AND(#REF!,"AAAAAH359IU=")</f>
        <v>#REF!</v>
      </c>
      <c r="EE79" t="e">
        <f>AND(#REF!,"AAAAAH359IY=")</f>
        <v>#REF!</v>
      </c>
      <c r="EF79" t="e">
        <f>AND(#REF!,"AAAAAH359Ic=")</f>
        <v>#REF!</v>
      </c>
      <c r="EG79" t="e">
        <f>AND(#REF!,"AAAAAH359Ig=")</f>
        <v>#REF!</v>
      </c>
      <c r="EH79" t="e">
        <f>AND(#REF!,"AAAAAH359Ik=")</f>
        <v>#REF!</v>
      </c>
      <c r="EI79" t="e">
        <f>AND(#REF!,"AAAAAH359Io=")</f>
        <v>#REF!</v>
      </c>
      <c r="EJ79" t="e">
        <f>AND(#REF!,"AAAAAH359Is=")</f>
        <v>#REF!</v>
      </c>
      <c r="EK79" t="e">
        <f>AND(#REF!,"AAAAAH359Iw=")</f>
        <v>#REF!</v>
      </c>
      <c r="EL79" t="e">
        <f>AND(#REF!,"AAAAAH359I0=")</f>
        <v>#REF!</v>
      </c>
      <c r="EM79" t="e">
        <f>AND(#REF!,"AAAAAH359I4=")</f>
        <v>#REF!</v>
      </c>
      <c r="EN79" t="e">
        <f>AND(#REF!,"AAAAAH359I8=")</f>
        <v>#REF!</v>
      </c>
      <c r="EO79" t="e">
        <f>AND(#REF!,"AAAAAH359JA=")</f>
        <v>#REF!</v>
      </c>
      <c r="EP79" t="e">
        <f>AND(#REF!,"AAAAAH359JE=")</f>
        <v>#REF!</v>
      </c>
      <c r="EQ79" t="e">
        <f>AND(#REF!,"AAAAAH359JI=")</f>
        <v>#REF!</v>
      </c>
      <c r="ER79" t="e">
        <f>AND(#REF!,"AAAAAH359JM=")</f>
        <v>#REF!</v>
      </c>
      <c r="ES79" t="e">
        <f>AND(#REF!,"AAAAAH359JQ=")</f>
        <v>#REF!</v>
      </c>
      <c r="ET79" t="e">
        <f>AND(#REF!,"AAAAAH359JU=")</f>
        <v>#REF!</v>
      </c>
      <c r="EU79" t="e">
        <f>AND(#REF!,"AAAAAH359JY=")</f>
        <v>#REF!</v>
      </c>
      <c r="EV79" t="e">
        <f>AND(#REF!,"AAAAAH359Jc=")</f>
        <v>#REF!</v>
      </c>
      <c r="EW79" t="e">
        <f>AND(#REF!,"AAAAAH359Jg=")</f>
        <v>#REF!</v>
      </c>
      <c r="EX79" t="e">
        <f>AND(#REF!,"AAAAAH359Jk=")</f>
        <v>#REF!</v>
      </c>
      <c r="EY79" t="e">
        <f>AND(#REF!,"AAAAAH359Jo=")</f>
        <v>#REF!</v>
      </c>
      <c r="EZ79" t="e">
        <f>AND(#REF!,"AAAAAH359Js=")</f>
        <v>#REF!</v>
      </c>
      <c r="FA79" t="e">
        <f>AND(#REF!,"AAAAAH359Jw=")</f>
        <v>#REF!</v>
      </c>
      <c r="FB79" t="e">
        <f>AND(#REF!,"AAAAAH359J0=")</f>
        <v>#REF!</v>
      </c>
      <c r="FC79" t="e">
        <f>AND(#REF!,"AAAAAH359J4=")</f>
        <v>#REF!</v>
      </c>
      <c r="FD79" t="e">
        <f>IF(#REF!,"AAAAAH359J8=",0)</f>
        <v>#REF!</v>
      </c>
      <c r="FE79" t="e">
        <f>AND(#REF!,"AAAAAH359KA=")</f>
        <v>#REF!</v>
      </c>
      <c r="FF79" t="e">
        <f>AND(#REF!,"AAAAAH359KE=")</f>
        <v>#REF!</v>
      </c>
      <c r="FG79" t="e">
        <f>AND(#REF!,"AAAAAH359KI=")</f>
        <v>#REF!</v>
      </c>
      <c r="FH79" t="e">
        <f>AND(#REF!,"AAAAAH359KM=")</f>
        <v>#REF!</v>
      </c>
      <c r="FI79" t="e">
        <f>AND(#REF!,"AAAAAH359KQ=")</f>
        <v>#REF!</v>
      </c>
      <c r="FJ79" t="e">
        <f>AND(#REF!,"AAAAAH359KU=")</f>
        <v>#REF!</v>
      </c>
      <c r="FK79" t="e">
        <f>AND(#REF!,"AAAAAH359KY=")</f>
        <v>#REF!</v>
      </c>
      <c r="FL79" t="e">
        <f>AND(#REF!,"AAAAAH359Kc=")</f>
        <v>#REF!</v>
      </c>
      <c r="FM79" t="e">
        <f>AND(#REF!,"AAAAAH359Kg=")</f>
        <v>#REF!</v>
      </c>
      <c r="FN79" t="e">
        <f>AND(#REF!,"AAAAAH359Kk=")</f>
        <v>#REF!</v>
      </c>
      <c r="FO79" t="e">
        <f>AND(#REF!,"AAAAAH359Ko=")</f>
        <v>#REF!</v>
      </c>
      <c r="FP79" t="e">
        <f>AND(#REF!,"AAAAAH359Ks=")</f>
        <v>#REF!</v>
      </c>
      <c r="FQ79" t="e">
        <f>AND(#REF!,"AAAAAH359Kw=")</f>
        <v>#REF!</v>
      </c>
      <c r="FR79" t="e">
        <f>AND(#REF!,"AAAAAH359K0=")</f>
        <v>#REF!</v>
      </c>
      <c r="FS79" t="e">
        <f>AND(#REF!,"AAAAAH359K4=")</f>
        <v>#REF!</v>
      </c>
      <c r="FT79" t="e">
        <f>AND(#REF!,"AAAAAH359K8=")</f>
        <v>#REF!</v>
      </c>
      <c r="FU79" t="e">
        <f>AND(#REF!,"AAAAAH359LA=")</f>
        <v>#REF!</v>
      </c>
      <c r="FV79" t="e">
        <f>AND(#REF!,"AAAAAH359LE=")</f>
        <v>#REF!</v>
      </c>
      <c r="FW79" t="e">
        <f>AND(#REF!,"AAAAAH359LI=")</f>
        <v>#REF!</v>
      </c>
      <c r="FX79" t="e">
        <f>AND(#REF!,"AAAAAH359LM=")</f>
        <v>#REF!</v>
      </c>
      <c r="FY79" t="e">
        <f>AND(#REF!,"AAAAAH359LQ=")</f>
        <v>#REF!</v>
      </c>
      <c r="FZ79" t="e">
        <f>AND(#REF!,"AAAAAH359LU=")</f>
        <v>#REF!</v>
      </c>
      <c r="GA79" t="e">
        <f>AND(#REF!,"AAAAAH359LY=")</f>
        <v>#REF!</v>
      </c>
      <c r="GB79" t="e">
        <f>AND(#REF!,"AAAAAH359Lc=")</f>
        <v>#REF!</v>
      </c>
      <c r="GC79" t="e">
        <f>AND(#REF!,"AAAAAH359Lg=")</f>
        <v>#REF!</v>
      </c>
      <c r="GD79" t="e">
        <f>AND(#REF!,"AAAAAH359Lk=")</f>
        <v>#REF!</v>
      </c>
      <c r="GE79" t="e">
        <f>AND(#REF!,"AAAAAH359Lo=")</f>
        <v>#REF!</v>
      </c>
      <c r="GF79" t="e">
        <f>AND(#REF!,"AAAAAH359Ls=")</f>
        <v>#REF!</v>
      </c>
      <c r="GG79" t="e">
        <f>AND(#REF!,"AAAAAH359Lw=")</f>
        <v>#REF!</v>
      </c>
      <c r="GH79" t="e">
        <f>AND(#REF!,"AAAAAH359L0=")</f>
        <v>#REF!</v>
      </c>
      <c r="GI79" t="e">
        <f>AND(#REF!,"AAAAAH359L4=")</f>
        <v>#REF!</v>
      </c>
      <c r="GJ79" t="e">
        <f>AND(#REF!,"AAAAAH359L8=")</f>
        <v>#REF!</v>
      </c>
      <c r="GK79" t="e">
        <f>AND(#REF!,"AAAAAH359MA=")</f>
        <v>#REF!</v>
      </c>
      <c r="GL79" t="e">
        <f>AND(#REF!,"AAAAAH359ME=")</f>
        <v>#REF!</v>
      </c>
      <c r="GM79" t="e">
        <f>AND(#REF!,"AAAAAH359MI=")</f>
        <v>#REF!</v>
      </c>
      <c r="GN79" t="e">
        <f>AND(#REF!,"AAAAAH359MM=")</f>
        <v>#REF!</v>
      </c>
      <c r="GO79" t="e">
        <f>AND(#REF!,"AAAAAH359MQ=")</f>
        <v>#REF!</v>
      </c>
      <c r="GP79" t="e">
        <f>AND(#REF!,"AAAAAH359MU=")</f>
        <v>#REF!</v>
      </c>
      <c r="GQ79" t="e">
        <f>AND(#REF!,"AAAAAH359MY=")</f>
        <v>#REF!</v>
      </c>
      <c r="GR79" t="e">
        <f>AND(#REF!,"AAAAAH359Mc=")</f>
        <v>#REF!</v>
      </c>
      <c r="GS79" t="e">
        <f>AND(#REF!,"AAAAAH359Mg=")</f>
        <v>#REF!</v>
      </c>
      <c r="GT79" t="e">
        <f>IF(#REF!,"AAAAAH359Mk=",0)</f>
        <v>#REF!</v>
      </c>
      <c r="GU79" t="e">
        <f>AND(#REF!,"AAAAAH359Mo=")</f>
        <v>#REF!</v>
      </c>
      <c r="GV79" t="e">
        <f>AND(#REF!,"AAAAAH359Ms=")</f>
        <v>#REF!</v>
      </c>
      <c r="GW79" t="e">
        <f>AND(#REF!,"AAAAAH359Mw=")</f>
        <v>#REF!</v>
      </c>
      <c r="GX79" t="e">
        <f>AND(#REF!,"AAAAAH359M0=")</f>
        <v>#REF!</v>
      </c>
      <c r="GY79" t="e">
        <f>AND(#REF!,"AAAAAH359M4=")</f>
        <v>#REF!</v>
      </c>
      <c r="GZ79" t="e">
        <f>AND(#REF!,"AAAAAH359M8=")</f>
        <v>#REF!</v>
      </c>
      <c r="HA79" t="e">
        <f>AND(#REF!,"AAAAAH359NA=")</f>
        <v>#REF!</v>
      </c>
      <c r="HB79" t="e">
        <f>AND(#REF!,"AAAAAH359NE=")</f>
        <v>#REF!</v>
      </c>
      <c r="HC79" t="e">
        <f>AND(#REF!,"AAAAAH359NI=")</f>
        <v>#REF!</v>
      </c>
      <c r="HD79" t="e">
        <f>AND(#REF!,"AAAAAH359NM=")</f>
        <v>#REF!</v>
      </c>
      <c r="HE79" t="e">
        <f>AND(#REF!,"AAAAAH359NQ=")</f>
        <v>#REF!</v>
      </c>
      <c r="HF79" t="e">
        <f>AND(#REF!,"AAAAAH359NU=")</f>
        <v>#REF!</v>
      </c>
      <c r="HG79" t="e">
        <f>AND(#REF!,"AAAAAH359NY=")</f>
        <v>#REF!</v>
      </c>
      <c r="HH79" t="e">
        <f>AND(#REF!,"AAAAAH359Nc=")</f>
        <v>#REF!</v>
      </c>
      <c r="HI79" t="e">
        <f>AND(#REF!,"AAAAAH359Ng=")</f>
        <v>#REF!</v>
      </c>
      <c r="HJ79" t="e">
        <f>AND(#REF!,"AAAAAH359Nk=")</f>
        <v>#REF!</v>
      </c>
      <c r="HK79" t="e">
        <f>AND(#REF!,"AAAAAH359No=")</f>
        <v>#REF!</v>
      </c>
      <c r="HL79" t="e">
        <f>AND(#REF!,"AAAAAH359Ns=")</f>
        <v>#REF!</v>
      </c>
      <c r="HM79" t="e">
        <f>AND(#REF!,"AAAAAH359Nw=")</f>
        <v>#REF!</v>
      </c>
      <c r="HN79" t="e">
        <f>AND(#REF!,"AAAAAH359N0=")</f>
        <v>#REF!</v>
      </c>
      <c r="HO79" t="e">
        <f>AND(#REF!,"AAAAAH359N4=")</f>
        <v>#REF!</v>
      </c>
      <c r="HP79" t="e">
        <f>AND(#REF!,"AAAAAH359N8=")</f>
        <v>#REF!</v>
      </c>
      <c r="HQ79" t="e">
        <f>AND(#REF!,"AAAAAH359OA=")</f>
        <v>#REF!</v>
      </c>
      <c r="HR79" t="e">
        <f>AND(#REF!,"AAAAAH359OE=")</f>
        <v>#REF!</v>
      </c>
      <c r="HS79" t="e">
        <f>AND(#REF!,"AAAAAH359OI=")</f>
        <v>#REF!</v>
      </c>
      <c r="HT79" t="e">
        <f>AND(#REF!,"AAAAAH359OM=")</f>
        <v>#REF!</v>
      </c>
      <c r="HU79" t="e">
        <f>AND(#REF!,"AAAAAH359OQ=")</f>
        <v>#REF!</v>
      </c>
      <c r="HV79" t="e">
        <f>AND(#REF!,"AAAAAH359OU=")</f>
        <v>#REF!</v>
      </c>
      <c r="HW79" t="e">
        <f>AND(#REF!,"AAAAAH359OY=")</f>
        <v>#REF!</v>
      </c>
      <c r="HX79" t="e">
        <f>AND(#REF!,"AAAAAH359Oc=")</f>
        <v>#REF!</v>
      </c>
      <c r="HY79" t="e">
        <f>AND(#REF!,"AAAAAH359Og=")</f>
        <v>#REF!</v>
      </c>
      <c r="HZ79" t="e">
        <f>AND(#REF!,"AAAAAH359Ok=")</f>
        <v>#REF!</v>
      </c>
      <c r="IA79" t="e">
        <f>AND(#REF!,"AAAAAH359Oo=")</f>
        <v>#REF!</v>
      </c>
      <c r="IB79" t="e">
        <f>AND(#REF!,"AAAAAH359Os=")</f>
        <v>#REF!</v>
      </c>
      <c r="IC79" t="e">
        <f>AND(#REF!,"AAAAAH359Ow=")</f>
        <v>#REF!</v>
      </c>
      <c r="ID79" t="e">
        <f>AND(#REF!,"AAAAAH359O0=")</f>
        <v>#REF!</v>
      </c>
      <c r="IE79" t="e">
        <f>AND(#REF!,"AAAAAH359O4=")</f>
        <v>#REF!</v>
      </c>
      <c r="IF79" t="e">
        <f>AND(#REF!,"AAAAAH359O8=")</f>
        <v>#REF!</v>
      </c>
      <c r="IG79" t="e">
        <f>AND(#REF!,"AAAAAH359PA=")</f>
        <v>#REF!</v>
      </c>
      <c r="IH79" t="e">
        <f>AND(#REF!,"AAAAAH359PE=")</f>
        <v>#REF!</v>
      </c>
      <c r="II79" t="e">
        <f>AND(#REF!,"AAAAAH359PI=")</f>
        <v>#REF!</v>
      </c>
      <c r="IJ79" t="e">
        <f>IF(#REF!,"AAAAAH359PM=",0)</f>
        <v>#REF!</v>
      </c>
      <c r="IK79" t="e">
        <f>AND(#REF!,"AAAAAH359PQ=")</f>
        <v>#REF!</v>
      </c>
      <c r="IL79" t="e">
        <f>AND(#REF!,"AAAAAH359PU=")</f>
        <v>#REF!</v>
      </c>
      <c r="IM79" t="e">
        <f>AND(#REF!,"AAAAAH359PY=")</f>
        <v>#REF!</v>
      </c>
      <c r="IN79" t="e">
        <f>AND(#REF!,"AAAAAH359Pc=")</f>
        <v>#REF!</v>
      </c>
      <c r="IO79" t="e">
        <f>AND(#REF!,"AAAAAH359Pg=")</f>
        <v>#REF!</v>
      </c>
      <c r="IP79" t="e">
        <f>AND(#REF!,"AAAAAH359Pk=")</f>
        <v>#REF!</v>
      </c>
      <c r="IQ79" t="e">
        <f>AND(#REF!,"AAAAAH359Po=")</f>
        <v>#REF!</v>
      </c>
      <c r="IR79" t="e">
        <f>AND(#REF!,"AAAAAH359Ps=")</f>
        <v>#REF!</v>
      </c>
      <c r="IS79" t="e">
        <f>AND(#REF!,"AAAAAH359Pw=")</f>
        <v>#REF!</v>
      </c>
      <c r="IT79" t="e">
        <f>AND(#REF!,"AAAAAH359P0=")</f>
        <v>#REF!</v>
      </c>
      <c r="IU79" t="e">
        <f>AND(#REF!,"AAAAAH359P4=")</f>
        <v>#REF!</v>
      </c>
      <c r="IV79" t="e">
        <f>AND(#REF!,"AAAAAH359P8=")</f>
        <v>#REF!</v>
      </c>
    </row>
    <row r="80" spans="1:256">
      <c r="A80" t="e">
        <f>AND(#REF!,"AAAAAD//+gA=")</f>
        <v>#REF!</v>
      </c>
      <c r="B80" t="e">
        <f>AND(#REF!,"AAAAAD//+gE=")</f>
        <v>#REF!</v>
      </c>
      <c r="C80" t="e">
        <f>AND(#REF!,"AAAAAD//+gI=")</f>
        <v>#REF!</v>
      </c>
      <c r="D80" t="e">
        <f>AND(#REF!,"AAAAAD//+gM=")</f>
        <v>#REF!</v>
      </c>
      <c r="E80" t="e">
        <f>AND(#REF!,"AAAAAD//+gQ=")</f>
        <v>#REF!</v>
      </c>
      <c r="F80" t="e">
        <f>AND(#REF!,"AAAAAD//+gU=")</f>
        <v>#REF!</v>
      </c>
      <c r="G80" t="e">
        <f>AND(#REF!,"AAAAAD//+gY=")</f>
        <v>#REF!</v>
      </c>
      <c r="H80" t="e">
        <f>AND(#REF!,"AAAAAD//+gc=")</f>
        <v>#REF!</v>
      </c>
      <c r="I80" t="e">
        <f>AND(#REF!,"AAAAAD//+gg=")</f>
        <v>#REF!</v>
      </c>
      <c r="J80" t="e">
        <f>AND(#REF!,"AAAAAD//+gk=")</f>
        <v>#REF!</v>
      </c>
      <c r="K80" t="e">
        <f>AND(#REF!,"AAAAAD//+go=")</f>
        <v>#REF!</v>
      </c>
      <c r="L80" t="e">
        <f>AND(#REF!,"AAAAAD//+gs=")</f>
        <v>#REF!</v>
      </c>
      <c r="M80" t="e">
        <f>AND(#REF!,"AAAAAD//+gw=")</f>
        <v>#REF!</v>
      </c>
      <c r="N80" t="e">
        <f>AND(#REF!,"AAAAAD//+g0=")</f>
        <v>#REF!</v>
      </c>
      <c r="O80" t="e">
        <f>AND(#REF!,"AAAAAD//+g4=")</f>
        <v>#REF!</v>
      </c>
      <c r="P80" t="e">
        <f>AND(#REF!,"AAAAAD//+g8=")</f>
        <v>#REF!</v>
      </c>
      <c r="Q80" t="e">
        <f>AND(#REF!,"AAAAAD//+hA=")</f>
        <v>#REF!</v>
      </c>
      <c r="R80" t="e">
        <f>AND(#REF!,"AAAAAD//+hE=")</f>
        <v>#REF!</v>
      </c>
      <c r="S80" t="e">
        <f>AND(#REF!,"AAAAAD//+hI=")</f>
        <v>#REF!</v>
      </c>
      <c r="T80" t="e">
        <f>AND(#REF!,"AAAAAD//+hM=")</f>
        <v>#REF!</v>
      </c>
      <c r="U80" t="e">
        <f>AND(#REF!,"AAAAAD//+hQ=")</f>
        <v>#REF!</v>
      </c>
      <c r="V80" t="e">
        <f>AND(#REF!,"AAAAAD//+hU=")</f>
        <v>#REF!</v>
      </c>
      <c r="W80" t="e">
        <f>AND(#REF!,"AAAAAD//+hY=")</f>
        <v>#REF!</v>
      </c>
      <c r="X80" t="e">
        <f>AND(#REF!,"AAAAAD//+hc=")</f>
        <v>#REF!</v>
      </c>
      <c r="Y80" t="e">
        <f>AND(#REF!,"AAAAAD//+hg=")</f>
        <v>#REF!</v>
      </c>
      <c r="Z80" t="e">
        <f>AND(#REF!,"AAAAAD//+hk=")</f>
        <v>#REF!</v>
      </c>
      <c r="AA80" t="e">
        <f>AND(#REF!,"AAAAAD//+ho=")</f>
        <v>#REF!</v>
      </c>
      <c r="AB80" t="e">
        <f>AND(#REF!,"AAAAAD//+hs=")</f>
        <v>#REF!</v>
      </c>
      <c r="AC80" t="e">
        <f>AND(#REF!,"AAAAAD//+hw=")</f>
        <v>#REF!</v>
      </c>
      <c r="AD80" t="e">
        <f>IF(#REF!,"AAAAAD//+h0=",0)</f>
        <v>#REF!</v>
      </c>
      <c r="AE80" t="e">
        <f>AND(#REF!,"AAAAAD//+h4=")</f>
        <v>#REF!</v>
      </c>
      <c r="AF80" t="e">
        <f>AND(#REF!,"AAAAAD//+h8=")</f>
        <v>#REF!</v>
      </c>
      <c r="AG80" t="e">
        <f>AND(#REF!,"AAAAAD//+iA=")</f>
        <v>#REF!</v>
      </c>
      <c r="AH80" t="e">
        <f>AND(#REF!,"AAAAAD//+iE=")</f>
        <v>#REF!</v>
      </c>
      <c r="AI80" t="e">
        <f>AND(#REF!,"AAAAAD//+iI=")</f>
        <v>#REF!</v>
      </c>
      <c r="AJ80" t="e">
        <f>AND(#REF!,"AAAAAD//+iM=")</f>
        <v>#REF!</v>
      </c>
      <c r="AK80" t="e">
        <f>AND(#REF!,"AAAAAD//+iQ=")</f>
        <v>#REF!</v>
      </c>
      <c r="AL80" t="e">
        <f>AND(#REF!,"AAAAAD//+iU=")</f>
        <v>#REF!</v>
      </c>
      <c r="AM80" t="e">
        <f>AND(#REF!,"AAAAAD//+iY=")</f>
        <v>#REF!</v>
      </c>
      <c r="AN80" t="e">
        <f>AND(#REF!,"AAAAAD//+ic=")</f>
        <v>#REF!</v>
      </c>
      <c r="AO80" t="e">
        <f>AND(#REF!,"AAAAAD//+ig=")</f>
        <v>#REF!</v>
      </c>
      <c r="AP80" t="e">
        <f>AND(#REF!,"AAAAAD//+ik=")</f>
        <v>#REF!</v>
      </c>
      <c r="AQ80" t="e">
        <f>AND(#REF!,"AAAAAD//+io=")</f>
        <v>#REF!</v>
      </c>
      <c r="AR80" t="e">
        <f>AND(#REF!,"AAAAAD//+is=")</f>
        <v>#REF!</v>
      </c>
      <c r="AS80" t="e">
        <f>AND(#REF!,"AAAAAD//+iw=")</f>
        <v>#REF!</v>
      </c>
      <c r="AT80" t="e">
        <f>AND(#REF!,"AAAAAD//+i0=")</f>
        <v>#REF!</v>
      </c>
      <c r="AU80" t="e">
        <f>AND(#REF!,"AAAAAD//+i4=")</f>
        <v>#REF!</v>
      </c>
      <c r="AV80" t="e">
        <f>AND(#REF!,"AAAAAD//+i8=")</f>
        <v>#REF!</v>
      </c>
      <c r="AW80" t="e">
        <f>AND(#REF!,"AAAAAD//+jA=")</f>
        <v>#REF!</v>
      </c>
      <c r="AX80" t="e">
        <f>AND(#REF!,"AAAAAD//+jE=")</f>
        <v>#REF!</v>
      </c>
      <c r="AY80" t="e">
        <f>AND(#REF!,"AAAAAD//+jI=")</f>
        <v>#REF!</v>
      </c>
      <c r="AZ80" t="e">
        <f>AND(#REF!,"AAAAAD//+jM=")</f>
        <v>#REF!</v>
      </c>
      <c r="BA80" t="e">
        <f>AND(#REF!,"AAAAAD//+jQ=")</f>
        <v>#REF!</v>
      </c>
      <c r="BB80" t="e">
        <f>AND(#REF!,"AAAAAD//+jU=")</f>
        <v>#REF!</v>
      </c>
      <c r="BC80" t="e">
        <f>AND(#REF!,"AAAAAD//+jY=")</f>
        <v>#REF!</v>
      </c>
      <c r="BD80" t="e">
        <f>AND(#REF!,"AAAAAD//+jc=")</f>
        <v>#REF!</v>
      </c>
      <c r="BE80" t="e">
        <f>AND(#REF!,"AAAAAD//+jg=")</f>
        <v>#REF!</v>
      </c>
      <c r="BF80" t="e">
        <f>AND(#REF!,"AAAAAD//+jk=")</f>
        <v>#REF!</v>
      </c>
      <c r="BG80" t="e">
        <f>AND(#REF!,"AAAAAD//+jo=")</f>
        <v>#REF!</v>
      </c>
      <c r="BH80" t="e">
        <f>AND(#REF!,"AAAAAD//+js=")</f>
        <v>#REF!</v>
      </c>
      <c r="BI80" t="e">
        <f>AND(#REF!,"AAAAAD//+jw=")</f>
        <v>#REF!</v>
      </c>
      <c r="BJ80" t="e">
        <f>AND(#REF!,"AAAAAD//+j0=")</f>
        <v>#REF!</v>
      </c>
      <c r="BK80" t="e">
        <f>AND(#REF!,"AAAAAD//+j4=")</f>
        <v>#REF!</v>
      </c>
      <c r="BL80" t="e">
        <f>AND(#REF!,"AAAAAD//+j8=")</f>
        <v>#REF!</v>
      </c>
      <c r="BM80" t="e">
        <f>AND(#REF!,"AAAAAD//+kA=")</f>
        <v>#REF!</v>
      </c>
      <c r="BN80" t="e">
        <f>AND(#REF!,"AAAAAD//+kE=")</f>
        <v>#REF!</v>
      </c>
      <c r="BO80" t="e">
        <f>AND(#REF!,"AAAAAD//+kI=")</f>
        <v>#REF!</v>
      </c>
      <c r="BP80" t="e">
        <f>AND(#REF!,"AAAAAD//+kM=")</f>
        <v>#REF!</v>
      </c>
      <c r="BQ80" t="e">
        <f>AND(#REF!,"AAAAAD//+kQ=")</f>
        <v>#REF!</v>
      </c>
      <c r="BR80" t="e">
        <f>AND(#REF!,"AAAAAD//+kU=")</f>
        <v>#REF!</v>
      </c>
      <c r="BS80" t="e">
        <f>AND(#REF!,"AAAAAD//+kY=")</f>
        <v>#REF!</v>
      </c>
      <c r="BT80" t="e">
        <f>IF(#REF!,"AAAAAD//+kc=",0)</f>
        <v>#REF!</v>
      </c>
      <c r="BU80" t="e">
        <f>AND(#REF!,"AAAAAD//+kg=")</f>
        <v>#REF!</v>
      </c>
      <c r="BV80" t="e">
        <f>AND(#REF!,"AAAAAD//+kk=")</f>
        <v>#REF!</v>
      </c>
      <c r="BW80" t="e">
        <f>AND(#REF!,"AAAAAD//+ko=")</f>
        <v>#REF!</v>
      </c>
      <c r="BX80" t="e">
        <f>AND(#REF!,"AAAAAD//+ks=")</f>
        <v>#REF!</v>
      </c>
      <c r="BY80" t="e">
        <f>AND(#REF!,"AAAAAD//+kw=")</f>
        <v>#REF!</v>
      </c>
      <c r="BZ80" t="e">
        <f>AND(#REF!,"AAAAAD//+k0=")</f>
        <v>#REF!</v>
      </c>
      <c r="CA80" t="e">
        <f>AND(#REF!,"AAAAAD//+k4=")</f>
        <v>#REF!</v>
      </c>
      <c r="CB80" t="e">
        <f>AND(#REF!,"AAAAAD//+k8=")</f>
        <v>#REF!</v>
      </c>
      <c r="CC80" t="e">
        <f>AND(#REF!,"AAAAAD//+lA=")</f>
        <v>#REF!</v>
      </c>
      <c r="CD80" t="e">
        <f>AND(#REF!,"AAAAAD//+lE=")</f>
        <v>#REF!</v>
      </c>
      <c r="CE80" t="e">
        <f>AND(#REF!,"AAAAAD//+lI=")</f>
        <v>#REF!</v>
      </c>
      <c r="CF80" t="e">
        <f>AND(#REF!,"AAAAAD//+lM=")</f>
        <v>#REF!</v>
      </c>
      <c r="CG80" t="e">
        <f>AND(#REF!,"AAAAAD//+lQ=")</f>
        <v>#REF!</v>
      </c>
      <c r="CH80" t="e">
        <f>AND(#REF!,"AAAAAD//+lU=")</f>
        <v>#REF!</v>
      </c>
      <c r="CI80" t="e">
        <f>AND(#REF!,"AAAAAD//+lY=")</f>
        <v>#REF!</v>
      </c>
      <c r="CJ80" t="e">
        <f>AND(#REF!,"AAAAAD//+lc=")</f>
        <v>#REF!</v>
      </c>
      <c r="CK80" t="e">
        <f>AND(#REF!,"AAAAAD//+lg=")</f>
        <v>#REF!</v>
      </c>
      <c r="CL80" t="e">
        <f>AND(#REF!,"AAAAAD//+lk=")</f>
        <v>#REF!</v>
      </c>
      <c r="CM80" t="e">
        <f>AND(#REF!,"AAAAAD//+lo=")</f>
        <v>#REF!</v>
      </c>
      <c r="CN80" t="e">
        <f>AND(#REF!,"AAAAAD//+ls=")</f>
        <v>#REF!</v>
      </c>
      <c r="CO80" t="e">
        <f>AND(#REF!,"AAAAAD//+lw=")</f>
        <v>#REF!</v>
      </c>
      <c r="CP80" t="e">
        <f>AND(#REF!,"AAAAAD//+l0=")</f>
        <v>#REF!</v>
      </c>
      <c r="CQ80" t="e">
        <f>AND(#REF!,"AAAAAD//+l4=")</f>
        <v>#REF!</v>
      </c>
      <c r="CR80" t="e">
        <f>AND(#REF!,"AAAAAD//+l8=")</f>
        <v>#REF!</v>
      </c>
      <c r="CS80" t="e">
        <f>AND(#REF!,"AAAAAD//+mA=")</f>
        <v>#REF!</v>
      </c>
      <c r="CT80" t="e">
        <f>AND(#REF!,"AAAAAD//+mE=")</f>
        <v>#REF!</v>
      </c>
      <c r="CU80" t="e">
        <f>AND(#REF!,"AAAAAD//+mI=")</f>
        <v>#REF!</v>
      </c>
      <c r="CV80" t="e">
        <f>AND(#REF!,"AAAAAD//+mM=")</f>
        <v>#REF!</v>
      </c>
      <c r="CW80" t="e">
        <f>AND(#REF!,"AAAAAD//+mQ=")</f>
        <v>#REF!</v>
      </c>
      <c r="CX80" t="e">
        <f>AND(#REF!,"AAAAAD//+mU=")</f>
        <v>#REF!</v>
      </c>
      <c r="CY80" t="e">
        <f>AND(#REF!,"AAAAAD//+mY=")</f>
        <v>#REF!</v>
      </c>
      <c r="CZ80" t="e">
        <f>AND(#REF!,"AAAAAD//+mc=")</f>
        <v>#REF!</v>
      </c>
      <c r="DA80" t="e">
        <f>AND(#REF!,"AAAAAD//+mg=")</f>
        <v>#REF!</v>
      </c>
      <c r="DB80" t="e">
        <f>AND(#REF!,"AAAAAD//+mk=")</f>
        <v>#REF!</v>
      </c>
      <c r="DC80" t="e">
        <f>AND(#REF!,"AAAAAD//+mo=")</f>
        <v>#REF!</v>
      </c>
      <c r="DD80" t="e">
        <f>AND(#REF!,"AAAAAD//+ms=")</f>
        <v>#REF!</v>
      </c>
      <c r="DE80" t="e">
        <f>AND(#REF!,"AAAAAD//+mw=")</f>
        <v>#REF!</v>
      </c>
      <c r="DF80" t="e">
        <f>AND(#REF!,"AAAAAD//+m0=")</f>
        <v>#REF!</v>
      </c>
      <c r="DG80" t="e">
        <f>AND(#REF!,"AAAAAD//+m4=")</f>
        <v>#REF!</v>
      </c>
      <c r="DH80" t="e">
        <f>AND(#REF!,"AAAAAD//+m8=")</f>
        <v>#REF!</v>
      </c>
      <c r="DI80" t="e">
        <f>AND(#REF!,"AAAAAD//+nA=")</f>
        <v>#REF!</v>
      </c>
      <c r="DJ80" t="e">
        <f>IF(#REF!,"AAAAAD//+nE=",0)</f>
        <v>#REF!</v>
      </c>
      <c r="DK80" t="e">
        <f>AND(#REF!,"AAAAAD//+nI=")</f>
        <v>#REF!</v>
      </c>
      <c r="DL80" t="e">
        <f>AND(#REF!,"AAAAAD//+nM=")</f>
        <v>#REF!</v>
      </c>
      <c r="DM80" t="e">
        <f>AND(#REF!,"AAAAAD//+nQ=")</f>
        <v>#REF!</v>
      </c>
      <c r="DN80" t="e">
        <f>AND(#REF!,"AAAAAD//+nU=")</f>
        <v>#REF!</v>
      </c>
      <c r="DO80" t="e">
        <f>AND(#REF!,"AAAAAD//+nY=")</f>
        <v>#REF!</v>
      </c>
      <c r="DP80" t="e">
        <f>AND(#REF!,"AAAAAD//+nc=")</f>
        <v>#REF!</v>
      </c>
      <c r="DQ80" t="e">
        <f>AND(#REF!,"AAAAAD//+ng=")</f>
        <v>#REF!</v>
      </c>
      <c r="DR80" t="e">
        <f>AND(#REF!,"AAAAAD//+nk=")</f>
        <v>#REF!</v>
      </c>
      <c r="DS80" t="e">
        <f>AND(#REF!,"AAAAAD//+no=")</f>
        <v>#REF!</v>
      </c>
      <c r="DT80" t="e">
        <f>AND(#REF!,"AAAAAD//+ns=")</f>
        <v>#REF!</v>
      </c>
      <c r="DU80" t="e">
        <f>AND(#REF!,"AAAAAD//+nw=")</f>
        <v>#REF!</v>
      </c>
      <c r="DV80" t="e">
        <f>AND(#REF!,"AAAAAD//+n0=")</f>
        <v>#REF!</v>
      </c>
      <c r="DW80" t="e">
        <f>AND(#REF!,"AAAAAD//+n4=")</f>
        <v>#REF!</v>
      </c>
      <c r="DX80" t="e">
        <f>AND(#REF!,"AAAAAD//+n8=")</f>
        <v>#REF!</v>
      </c>
      <c r="DY80" t="e">
        <f>AND(#REF!,"AAAAAD//+oA=")</f>
        <v>#REF!</v>
      </c>
      <c r="DZ80" t="e">
        <f>AND(#REF!,"AAAAAD//+oE=")</f>
        <v>#REF!</v>
      </c>
      <c r="EA80" t="e">
        <f>AND(#REF!,"AAAAAD//+oI=")</f>
        <v>#REF!</v>
      </c>
      <c r="EB80" t="e">
        <f>AND(#REF!,"AAAAAD//+oM=")</f>
        <v>#REF!</v>
      </c>
      <c r="EC80" t="e">
        <f>AND(#REF!,"AAAAAD//+oQ=")</f>
        <v>#REF!</v>
      </c>
      <c r="ED80" t="e">
        <f>AND(#REF!,"AAAAAD//+oU=")</f>
        <v>#REF!</v>
      </c>
      <c r="EE80" t="e">
        <f>AND(#REF!,"AAAAAD//+oY=")</f>
        <v>#REF!</v>
      </c>
      <c r="EF80" t="e">
        <f>AND(#REF!,"AAAAAD//+oc=")</f>
        <v>#REF!</v>
      </c>
      <c r="EG80" t="e">
        <f>AND(#REF!,"AAAAAD//+og=")</f>
        <v>#REF!</v>
      </c>
      <c r="EH80" t="e">
        <f>AND(#REF!,"AAAAAD//+ok=")</f>
        <v>#REF!</v>
      </c>
      <c r="EI80" t="e">
        <f>AND(#REF!,"AAAAAD//+oo=")</f>
        <v>#REF!</v>
      </c>
      <c r="EJ80" t="e">
        <f>AND(#REF!,"AAAAAD//+os=")</f>
        <v>#REF!</v>
      </c>
      <c r="EK80" t="e">
        <f>AND(#REF!,"AAAAAD//+ow=")</f>
        <v>#REF!</v>
      </c>
      <c r="EL80" t="e">
        <f>AND(#REF!,"AAAAAD//+o0=")</f>
        <v>#REF!</v>
      </c>
      <c r="EM80" t="e">
        <f>AND(#REF!,"AAAAAD//+o4=")</f>
        <v>#REF!</v>
      </c>
      <c r="EN80" t="e">
        <f>AND(#REF!,"AAAAAD//+o8=")</f>
        <v>#REF!</v>
      </c>
      <c r="EO80" t="e">
        <f>AND(#REF!,"AAAAAD//+pA=")</f>
        <v>#REF!</v>
      </c>
      <c r="EP80" t="e">
        <f>AND(#REF!,"AAAAAD//+pE=")</f>
        <v>#REF!</v>
      </c>
      <c r="EQ80" t="e">
        <f>AND(#REF!,"AAAAAD//+pI=")</f>
        <v>#REF!</v>
      </c>
      <c r="ER80" t="e">
        <f>AND(#REF!,"AAAAAD//+pM=")</f>
        <v>#REF!</v>
      </c>
      <c r="ES80" t="e">
        <f>AND(#REF!,"AAAAAD//+pQ=")</f>
        <v>#REF!</v>
      </c>
      <c r="ET80" t="e">
        <f>AND(#REF!,"AAAAAD//+pU=")</f>
        <v>#REF!</v>
      </c>
      <c r="EU80" t="e">
        <f>AND(#REF!,"AAAAAD//+pY=")</f>
        <v>#REF!</v>
      </c>
      <c r="EV80" t="e">
        <f>AND(#REF!,"AAAAAD//+pc=")</f>
        <v>#REF!</v>
      </c>
      <c r="EW80" t="e">
        <f>AND(#REF!,"AAAAAD//+pg=")</f>
        <v>#REF!</v>
      </c>
      <c r="EX80" t="e">
        <f>AND(#REF!,"AAAAAD//+pk=")</f>
        <v>#REF!</v>
      </c>
      <c r="EY80" t="e">
        <f>AND(#REF!,"AAAAAD//+po=")</f>
        <v>#REF!</v>
      </c>
      <c r="EZ80" t="e">
        <f>IF(#REF!,"AAAAAD//+ps=",0)</f>
        <v>#REF!</v>
      </c>
      <c r="FA80" t="e">
        <f>AND(#REF!,"AAAAAD//+pw=")</f>
        <v>#REF!</v>
      </c>
      <c r="FB80" t="e">
        <f>AND(#REF!,"AAAAAD//+p0=")</f>
        <v>#REF!</v>
      </c>
      <c r="FC80" t="e">
        <f>AND(#REF!,"AAAAAD//+p4=")</f>
        <v>#REF!</v>
      </c>
      <c r="FD80" t="e">
        <f>AND(#REF!,"AAAAAD//+p8=")</f>
        <v>#REF!</v>
      </c>
      <c r="FE80" t="e">
        <f>AND(#REF!,"AAAAAD//+qA=")</f>
        <v>#REF!</v>
      </c>
      <c r="FF80" t="e">
        <f>AND(#REF!,"AAAAAD//+qE=")</f>
        <v>#REF!</v>
      </c>
      <c r="FG80" t="e">
        <f>AND(#REF!,"AAAAAD//+qI=")</f>
        <v>#REF!</v>
      </c>
      <c r="FH80" t="e">
        <f>AND(#REF!,"AAAAAD//+qM=")</f>
        <v>#REF!</v>
      </c>
      <c r="FI80" t="e">
        <f>AND(#REF!,"AAAAAD//+qQ=")</f>
        <v>#REF!</v>
      </c>
      <c r="FJ80" t="e">
        <f>AND(#REF!,"AAAAAD//+qU=")</f>
        <v>#REF!</v>
      </c>
      <c r="FK80" t="e">
        <f>AND(#REF!,"AAAAAD//+qY=")</f>
        <v>#REF!</v>
      </c>
      <c r="FL80" t="e">
        <f>AND(#REF!,"AAAAAD//+qc=")</f>
        <v>#REF!</v>
      </c>
      <c r="FM80" t="e">
        <f>AND(#REF!,"AAAAAD//+qg=")</f>
        <v>#REF!</v>
      </c>
      <c r="FN80" t="e">
        <f>AND(#REF!,"AAAAAD//+qk=")</f>
        <v>#REF!</v>
      </c>
      <c r="FO80" t="e">
        <f>AND(#REF!,"AAAAAD//+qo=")</f>
        <v>#REF!</v>
      </c>
      <c r="FP80" t="e">
        <f>AND(#REF!,"AAAAAD//+qs=")</f>
        <v>#REF!</v>
      </c>
      <c r="FQ80" t="e">
        <f>AND(#REF!,"AAAAAD//+qw=")</f>
        <v>#REF!</v>
      </c>
      <c r="FR80" t="e">
        <f>AND(#REF!,"AAAAAD//+q0=")</f>
        <v>#REF!</v>
      </c>
      <c r="FS80" t="e">
        <f>AND(#REF!,"AAAAAD//+q4=")</f>
        <v>#REF!</v>
      </c>
      <c r="FT80" t="e">
        <f>AND(#REF!,"AAAAAD//+q8=")</f>
        <v>#REF!</v>
      </c>
      <c r="FU80" t="e">
        <f>AND(#REF!,"AAAAAD//+rA=")</f>
        <v>#REF!</v>
      </c>
      <c r="FV80" t="e">
        <f>AND(#REF!,"AAAAAD//+rE=")</f>
        <v>#REF!</v>
      </c>
      <c r="FW80" t="e">
        <f>AND(#REF!,"AAAAAD//+rI=")</f>
        <v>#REF!</v>
      </c>
      <c r="FX80" t="e">
        <f>AND(#REF!,"AAAAAD//+rM=")</f>
        <v>#REF!</v>
      </c>
      <c r="FY80" t="e">
        <f>AND(#REF!,"AAAAAD//+rQ=")</f>
        <v>#REF!</v>
      </c>
      <c r="FZ80" t="e">
        <f>AND(#REF!,"AAAAAD//+rU=")</f>
        <v>#REF!</v>
      </c>
      <c r="GA80" t="e">
        <f>AND(#REF!,"AAAAAD//+rY=")</f>
        <v>#REF!</v>
      </c>
      <c r="GB80" t="e">
        <f>AND(#REF!,"AAAAAD//+rc=")</f>
        <v>#REF!</v>
      </c>
      <c r="GC80" t="e">
        <f>AND(#REF!,"AAAAAD//+rg=")</f>
        <v>#REF!</v>
      </c>
      <c r="GD80" t="e">
        <f>AND(#REF!,"AAAAAD//+rk=")</f>
        <v>#REF!</v>
      </c>
      <c r="GE80" t="e">
        <f>AND(#REF!,"AAAAAD//+ro=")</f>
        <v>#REF!</v>
      </c>
      <c r="GF80" t="e">
        <f>AND(#REF!,"AAAAAD//+rs=")</f>
        <v>#REF!</v>
      </c>
      <c r="GG80" t="e">
        <f>AND(#REF!,"AAAAAD//+rw=")</f>
        <v>#REF!</v>
      </c>
      <c r="GH80" t="e">
        <f>AND(#REF!,"AAAAAD//+r0=")</f>
        <v>#REF!</v>
      </c>
      <c r="GI80" t="e">
        <f>AND(#REF!,"AAAAAD//+r4=")</f>
        <v>#REF!</v>
      </c>
      <c r="GJ80" t="e">
        <f>AND(#REF!,"AAAAAD//+r8=")</f>
        <v>#REF!</v>
      </c>
      <c r="GK80" t="e">
        <f>AND(#REF!,"AAAAAD//+sA=")</f>
        <v>#REF!</v>
      </c>
      <c r="GL80" t="e">
        <f>AND(#REF!,"AAAAAD//+sE=")</f>
        <v>#REF!</v>
      </c>
      <c r="GM80" t="e">
        <f>AND(#REF!,"AAAAAD//+sI=")</f>
        <v>#REF!</v>
      </c>
      <c r="GN80" t="e">
        <f>AND(#REF!,"AAAAAD//+sM=")</f>
        <v>#REF!</v>
      </c>
      <c r="GO80" t="e">
        <f>AND(#REF!,"AAAAAD//+sQ=")</f>
        <v>#REF!</v>
      </c>
      <c r="GP80" t="e">
        <f>IF(#REF!,"AAAAAD//+sU=",0)</f>
        <v>#REF!</v>
      </c>
      <c r="GQ80" t="e">
        <f>AND(#REF!,"AAAAAD//+sY=")</f>
        <v>#REF!</v>
      </c>
      <c r="GR80" t="e">
        <f>AND(#REF!,"AAAAAD//+sc=")</f>
        <v>#REF!</v>
      </c>
      <c r="GS80" t="e">
        <f>AND(#REF!,"AAAAAD//+sg=")</f>
        <v>#REF!</v>
      </c>
      <c r="GT80" t="e">
        <f>AND(#REF!,"AAAAAD//+sk=")</f>
        <v>#REF!</v>
      </c>
      <c r="GU80" t="e">
        <f>AND(#REF!,"AAAAAD//+so=")</f>
        <v>#REF!</v>
      </c>
      <c r="GV80" t="e">
        <f>AND(#REF!,"AAAAAD//+ss=")</f>
        <v>#REF!</v>
      </c>
      <c r="GW80" t="e">
        <f>AND(#REF!,"AAAAAD//+sw=")</f>
        <v>#REF!</v>
      </c>
      <c r="GX80" t="e">
        <f>AND(#REF!,"AAAAAD//+s0=")</f>
        <v>#REF!</v>
      </c>
      <c r="GY80" t="e">
        <f>AND(#REF!,"AAAAAD//+s4=")</f>
        <v>#REF!</v>
      </c>
      <c r="GZ80" t="e">
        <f>AND(#REF!,"AAAAAD//+s8=")</f>
        <v>#REF!</v>
      </c>
      <c r="HA80" t="e">
        <f>AND(#REF!,"AAAAAD//+tA=")</f>
        <v>#REF!</v>
      </c>
      <c r="HB80" t="e">
        <f>AND(#REF!,"AAAAAD//+tE=")</f>
        <v>#REF!</v>
      </c>
      <c r="HC80" t="e">
        <f>AND(#REF!,"AAAAAD//+tI=")</f>
        <v>#REF!</v>
      </c>
      <c r="HD80" t="e">
        <f>AND(#REF!,"AAAAAD//+tM=")</f>
        <v>#REF!</v>
      </c>
      <c r="HE80" t="e">
        <f>AND(#REF!,"AAAAAD//+tQ=")</f>
        <v>#REF!</v>
      </c>
      <c r="HF80" t="e">
        <f>AND(#REF!,"AAAAAD//+tU=")</f>
        <v>#REF!</v>
      </c>
      <c r="HG80" t="e">
        <f>AND(#REF!,"AAAAAD//+tY=")</f>
        <v>#REF!</v>
      </c>
      <c r="HH80" t="e">
        <f>AND(#REF!,"AAAAAD//+tc=")</f>
        <v>#REF!</v>
      </c>
      <c r="HI80" t="e">
        <f>AND(#REF!,"AAAAAD//+tg=")</f>
        <v>#REF!</v>
      </c>
      <c r="HJ80" t="e">
        <f>AND(#REF!,"AAAAAD//+tk=")</f>
        <v>#REF!</v>
      </c>
      <c r="HK80" t="e">
        <f>AND(#REF!,"AAAAAD//+to=")</f>
        <v>#REF!</v>
      </c>
      <c r="HL80" t="e">
        <f>AND(#REF!,"AAAAAD//+ts=")</f>
        <v>#REF!</v>
      </c>
      <c r="HM80" t="e">
        <f>AND(#REF!,"AAAAAD//+tw=")</f>
        <v>#REF!</v>
      </c>
      <c r="HN80" t="e">
        <f>AND(#REF!,"AAAAAD//+t0=")</f>
        <v>#REF!</v>
      </c>
      <c r="HO80" t="e">
        <f>AND(#REF!,"AAAAAD//+t4=")</f>
        <v>#REF!</v>
      </c>
      <c r="HP80" t="e">
        <f>AND(#REF!,"AAAAAD//+t8=")</f>
        <v>#REF!</v>
      </c>
      <c r="HQ80" t="e">
        <f>AND(#REF!,"AAAAAD//+uA=")</f>
        <v>#REF!</v>
      </c>
      <c r="HR80" t="e">
        <f>AND(#REF!,"AAAAAD//+uE=")</f>
        <v>#REF!</v>
      </c>
      <c r="HS80" t="e">
        <f>AND(#REF!,"AAAAAD//+uI=")</f>
        <v>#REF!</v>
      </c>
      <c r="HT80" t="e">
        <f>AND(#REF!,"AAAAAD//+uM=")</f>
        <v>#REF!</v>
      </c>
      <c r="HU80" t="e">
        <f>AND(#REF!,"AAAAAD//+uQ=")</f>
        <v>#REF!</v>
      </c>
      <c r="HV80" t="e">
        <f>AND(#REF!,"AAAAAD//+uU=")</f>
        <v>#REF!</v>
      </c>
      <c r="HW80" t="e">
        <f>AND(#REF!,"AAAAAD//+uY=")</f>
        <v>#REF!</v>
      </c>
      <c r="HX80" t="e">
        <f>AND(#REF!,"AAAAAD//+uc=")</f>
        <v>#REF!</v>
      </c>
      <c r="HY80" t="e">
        <f>AND(#REF!,"AAAAAD//+ug=")</f>
        <v>#REF!</v>
      </c>
      <c r="HZ80" t="e">
        <f>AND(#REF!,"AAAAAD//+uk=")</f>
        <v>#REF!</v>
      </c>
      <c r="IA80" t="e">
        <f>AND(#REF!,"AAAAAD//+uo=")</f>
        <v>#REF!</v>
      </c>
      <c r="IB80" t="e">
        <f>AND(#REF!,"AAAAAD//+us=")</f>
        <v>#REF!</v>
      </c>
      <c r="IC80" t="e">
        <f>AND(#REF!,"AAAAAD//+uw=")</f>
        <v>#REF!</v>
      </c>
      <c r="ID80" t="e">
        <f>AND(#REF!,"AAAAAD//+u0=")</f>
        <v>#REF!</v>
      </c>
      <c r="IE80" t="e">
        <f>AND(#REF!,"AAAAAD//+u4=")</f>
        <v>#REF!</v>
      </c>
      <c r="IF80" t="e">
        <f>IF(#REF!,"AAAAAD//+u8=",0)</f>
        <v>#REF!</v>
      </c>
      <c r="IG80" t="e">
        <f>AND(#REF!,"AAAAAD//+vA=")</f>
        <v>#REF!</v>
      </c>
      <c r="IH80" t="e">
        <f>AND(#REF!,"AAAAAD//+vE=")</f>
        <v>#REF!</v>
      </c>
      <c r="II80" t="e">
        <f>AND(#REF!,"AAAAAD//+vI=")</f>
        <v>#REF!</v>
      </c>
      <c r="IJ80" t="e">
        <f>AND(#REF!,"AAAAAD//+vM=")</f>
        <v>#REF!</v>
      </c>
      <c r="IK80" t="e">
        <f>AND(#REF!,"AAAAAD//+vQ=")</f>
        <v>#REF!</v>
      </c>
      <c r="IL80" t="e">
        <f>AND(#REF!,"AAAAAD//+vU=")</f>
        <v>#REF!</v>
      </c>
      <c r="IM80" t="e">
        <f>AND(#REF!,"AAAAAD//+vY=")</f>
        <v>#REF!</v>
      </c>
      <c r="IN80" t="e">
        <f>AND(#REF!,"AAAAAD//+vc=")</f>
        <v>#REF!</v>
      </c>
      <c r="IO80" t="e">
        <f>AND(#REF!,"AAAAAD//+vg=")</f>
        <v>#REF!</v>
      </c>
      <c r="IP80" t="e">
        <f>AND(#REF!,"AAAAAD//+vk=")</f>
        <v>#REF!</v>
      </c>
      <c r="IQ80" t="e">
        <f>AND(#REF!,"AAAAAD//+vo=")</f>
        <v>#REF!</v>
      </c>
      <c r="IR80" t="e">
        <f>AND(#REF!,"AAAAAD//+vs=")</f>
        <v>#REF!</v>
      </c>
      <c r="IS80" t="e">
        <f>AND(#REF!,"AAAAAD//+vw=")</f>
        <v>#REF!</v>
      </c>
      <c r="IT80" t="e">
        <f>AND(#REF!,"AAAAAD//+v0=")</f>
        <v>#REF!</v>
      </c>
      <c r="IU80" t="e">
        <f>AND(#REF!,"AAAAAD//+v4=")</f>
        <v>#REF!</v>
      </c>
      <c r="IV80" t="e">
        <f>AND(#REF!,"AAAAAD//+v8=")</f>
        <v>#REF!</v>
      </c>
    </row>
    <row r="81" spans="1:256">
      <c r="A81" t="e">
        <f>AND(#REF!,"AAAAADr/9wA=")</f>
        <v>#REF!</v>
      </c>
      <c r="B81" t="e">
        <f>AND(#REF!,"AAAAADr/9wE=")</f>
        <v>#REF!</v>
      </c>
      <c r="C81" t="e">
        <f>AND(#REF!,"AAAAADr/9wI=")</f>
        <v>#REF!</v>
      </c>
      <c r="D81" t="e">
        <f>AND(#REF!,"AAAAADr/9wM=")</f>
        <v>#REF!</v>
      </c>
      <c r="E81" t="e">
        <f>AND(#REF!,"AAAAADr/9wQ=")</f>
        <v>#REF!</v>
      </c>
      <c r="F81" t="e">
        <f>AND(#REF!,"AAAAADr/9wU=")</f>
        <v>#REF!</v>
      </c>
      <c r="G81" t="e">
        <f>AND(#REF!,"AAAAADr/9wY=")</f>
        <v>#REF!</v>
      </c>
      <c r="H81" t="e">
        <f>AND(#REF!,"AAAAADr/9wc=")</f>
        <v>#REF!</v>
      </c>
      <c r="I81" t="e">
        <f>AND(#REF!,"AAAAADr/9wg=")</f>
        <v>#REF!</v>
      </c>
      <c r="J81" t="e">
        <f>AND(#REF!,"AAAAADr/9wk=")</f>
        <v>#REF!</v>
      </c>
      <c r="K81" t="e">
        <f>AND(#REF!,"AAAAADr/9wo=")</f>
        <v>#REF!</v>
      </c>
      <c r="L81" t="e">
        <f>AND(#REF!,"AAAAADr/9ws=")</f>
        <v>#REF!</v>
      </c>
      <c r="M81" t="e">
        <f>AND(#REF!,"AAAAADr/9ww=")</f>
        <v>#REF!</v>
      </c>
      <c r="N81" t="e">
        <f>AND(#REF!,"AAAAADr/9w0=")</f>
        <v>#REF!</v>
      </c>
      <c r="O81" t="e">
        <f>AND(#REF!,"AAAAADr/9w4=")</f>
        <v>#REF!</v>
      </c>
      <c r="P81" t="e">
        <f>AND(#REF!,"AAAAADr/9w8=")</f>
        <v>#REF!</v>
      </c>
      <c r="Q81" t="e">
        <f>AND(#REF!,"AAAAADr/9xA=")</f>
        <v>#REF!</v>
      </c>
      <c r="R81" t="e">
        <f>AND(#REF!,"AAAAADr/9xE=")</f>
        <v>#REF!</v>
      </c>
      <c r="S81" t="e">
        <f>AND(#REF!,"AAAAADr/9xI=")</f>
        <v>#REF!</v>
      </c>
      <c r="T81" t="e">
        <f>AND(#REF!,"AAAAADr/9xM=")</f>
        <v>#REF!</v>
      </c>
      <c r="U81" t="e">
        <f>AND(#REF!,"AAAAADr/9xQ=")</f>
        <v>#REF!</v>
      </c>
      <c r="V81" t="e">
        <f>AND(#REF!,"AAAAADr/9xU=")</f>
        <v>#REF!</v>
      </c>
      <c r="W81" t="e">
        <f>AND(#REF!,"AAAAADr/9xY=")</f>
        <v>#REF!</v>
      </c>
      <c r="X81" t="e">
        <f>AND(#REF!,"AAAAADr/9xc=")</f>
        <v>#REF!</v>
      </c>
      <c r="Y81" t="e">
        <f>AND(#REF!,"AAAAADr/9xg=")</f>
        <v>#REF!</v>
      </c>
      <c r="Z81" t="e">
        <f>IF(#REF!,"AAAAADr/9xk=",0)</f>
        <v>#REF!</v>
      </c>
      <c r="AA81" t="e">
        <f>AND(#REF!,"AAAAADr/9xo=")</f>
        <v>#REF!</v>
      </c>
      <c r="AB81" t="e">
        <f>AND(#REF!,"AAAAADr/9xs=")</f>
        <v>#REF!</v>
      </c>
      <c r="AC81" t="e">
        <f>AND(#REF!,"AAAAADr/9xw=")</f>
        <v>#REF!</v>
      </c>
      <c r="AD81" t="e">
        <f>AND(#REF!,"AAAAADr/9x0=")</f>
        <v>#REF!</v>
      </c>
      <c r="AE81" t="e">
        <f>AND(#REF!,"AAAAADr/9x4=")</f>
        <v>#REF!</v>
      </c>
      <c r="AF81" t="e">
        <f>AND(#REF!,"AAAAADr/9x8=")</f>
        <v>#REF!</v>
      </c>
      <c r="AG81" t="e">
        <f>AND(#REF!,"AAAAADr/9yA=")</f>
        <v>#REF!</v>
      </c>
      <c r="AH81" t="e">
        <f>AND(#REF!,"AAAAADr/9yE=")</f>
        <v>#REF!</v>
      </c>
      <c r="AI81" t="e">
        <f>AND(#REF!,"AAAAADr/9yI=")</f>
        <v>#REF!</v>
      </c>
      <c r="AJ81" t="e">
        <f>AND(#REF!,"AAAAADr/9yM=")</f>
        <v>#REF!</v>
      </c>
      <c r="AK81" t="e">
        <f>AND(#REF!,"AAAAADr/9yQ=")</f>
        <v>#REF!</v>
      </c>
      <c r="AL81" t="e">
        <f>AND(#REF!,"AAAAADr/9yU=")</f>
        <v>#REF!</v>
      </c>
      <c r="AM81" t="e">
        <f>AND(#REF!,"AAAAADr/9yY=")</f>
        <v>#REF!</v>
      </c>
      <c r="AN81" t="e">
        <f>AND(#REF!,"AAAAADr/9yc=")</f>
        <v>#REF!</v>
      </c>
      <c r="AO81" t="e">
        <f>AND(#REF!,"AAAAADr/9yg=")</f>
        <v>#REF!</v>
      </c>
      <c r="AP81" t="e">
        <f>AND(#REF!,"AAAAADr/9yk=")</f>
        <v>#REF!</v>
      </c>
      <c r="AQ81" t="e">
        <f>AND(#REF!,"AAAAADr/9yo=")</f>
        <v>#REF!</v>
      </c>
      <c r="AR81" t="e">
        <f>AND(#REF!,"AAAAADr/9ys=")</f>
        <v>#REF!</v>
      </c>
      <c r="AS81" t="e">
        <f>AND(#REF!,"AAAAADr/9yw=")</f>
        <v>#REF!</v>
      </c>
      <c r="AT81" t="e">
        <f>AND(#REF!,"AAAAADr/9y0=")</f>
        <v>#REF!</v>
      </c>
      <c r="AU81" t="e">
        <f>AND(#REF!,"AAAAADr/9y4=")</f>
        <v>#REF!</v>
      </c>
      <c r="AV81" t="e">
        <f>AND(#REF!,"AAAAADr/9y8=")</f>
        <v>#REF!</v>
      </c>
      <c r="AW81" t="e">
        <f>AND(#REF!,"AAAAADr/9zA=")</f>
        <v>#REF!</v>
      </c>
      <c r="AX81" t="e">
        <f>AND(#REF!,"AAAAADr/9zE=")</f>
        <v>#REF!</v>
      </c>
      <c r="AY81" t="e">
        <f>AND(#REF!,"AAAAADr/9zI=")</f>
        <v>#REF!</v>
      </c>
      <c r="AZ81" t="e">
        <f>AND(#REF!,"AAAAADr/9zM=")</f>
        <v>#REF!</v>
      </c>
      <c r="BA81" t="e">
        <f>AND(#REF!,"AAAAADr/9zQ=")</f>
        <v>#REF!</v>
      </c>
      <c r="BB81" t="e">
        <f>AND(#REF!,"AAAAADr/9zU=")</f>
        <v>#REF!</v>
      </c>
      <c r="BC81" t="e">
        <f>AND(#REF!,"AAAAADr/9zY=")</f>
        <v>#REF!</v>
      </c>
      <c r="BD81" t="e">
        <f>AND(#REF!,"AAAAADr/9zc=")</f>
        <v>#REF!</v>
      </c>
      <c r="BE81" t="e">
        <f>AND(#REF!,"AAAAADr/9zg=")</f>
        <v>#REF!</v>
      </c>
      <c r="BF81" t="e">
        <f>AND(#REF!,"AAAAADr/9zk=")</f>
        <v>#REF!</v>
      </c>
      <c r="BG81" t="e">
        <f>AND(#REF!,"AAAAADr/9zo=")</f>
        <v>#REF!</v>
      </c>
      <c r="BH81" t="e">
        <f>AND(#REF!,"AAAAADr/9zs=")</f>
        <v>#REF!</v>
      </c>
      <c r="BI81" t="e">
        <f>AND(#REF!,"AAAAADr/9zw=")</f>
        <v>#REF!</v>
      </c>
      <c r="BJ81" t="e">
        <f>AND(#REF!,"AAAAADr/9z0=")</f>
        <v>#REF!</v>
      </c>
      <c r="BK81" t="e">
        <f>AND(#REF!,"AAAAADr/9z4=")</f>
        <v>#REF!</v>
      </c>
      <c r="BL81" t="e">
        <f>AND(#REF!,"AAAAADr/9z8=")</f>
        <v>#REF!</v>
      </c>
      <c r="BM81" t="e">
        <f>AND(#REF!,"AAAAADr/90A=")</f>
        <v>#REF!</v>
      </c>
      <c r="BN81" t="e">
        <f>AND(#REF!,"AAAAADr/90E=")</f>
        <v>#REF!</v>
      </c>
      <c r="BO81" t="e">
        <f>AND(#REF!,"AAAAADr/90I=")</f>
        <v>#REF!</v>
      </c>
      <c r="BP81" t="e">
        <f>IF(#REF!,"AAAAADr/90M=",0)</f>
        <v>#REF!</v>
      </c>
      <c r="BQ81" t="e">
        <f>AND(#REF!,"AAAAADr/90Q=")</f>
        <v>#REF!</v>
      </c>
      <c r="BR81" t="e">
        <f>AND(#REF!,"AAAAADr/90U=")</f>
        <v>#REF!</v>
      </c>
      <c r="BS81" t="e">
        <f>AND(#REF!,"AAAAADr/90Y=")</f>
        <v>#REF!</v>
      </c>
      <c r="BT81" t="e">
        <f>AND(#REF!,"AAAAADr/90c=")</f>
        <v>#REF!</v>
      </c>
      <c r="BU81" t="e">
        <f>AND(#REF!,"AAAAADr/90g=")</f>
        <v>#REF!</v>
      </c>
      <c r="BV81" t="e">
        <f>AND(#REF!,"AAAAADr/90k=")</f>
        <v>#REF!</v>
      </c>
      <c r="BW81" t="e">
        <f>AND(#REF!,"AAAAADr/90o=")</f>
        <v>#REF!</v>
      </c>
      <c r="BX81" t="e">
        <f>AND(#REF!,"AAAAADr/90s=")</f>
        <v>#REF!</v>
      </c>
      <c r="BY81" t="e">
        <f>AND(#REF!,"AAAAADr/90w=")</f>
        <v>#REF!</v>
      </c>
      <c r="BZ81" t="e">
        <f>AND(#REF!,"AAAAADr/900=")</f>
        <v>#REF!</v>
      </c>
      <c r="CA81" t="e">
        <f>AND(#REF!,"AAAAADr/904=")</f>
        <v>#REF!</v>
      </c>
      <c r="CB81" t="e">
        <f>AND(#REF!,"AAAAADr/908=")</f>
        <v>#REF!</v>
      </c>
      <c r="CC81" t="e">
        <f>AND(#REF!,"AAAAADr/91A=")</f>
        <v>#REF!</v>
      </c>
      <c r="CD81" t="e">
        <f>AND(#REF!,"AAAAADr/91E=")</f>
        <v>#REF!</v>
      </c>
      <c r="CE81" t="e">
        <f>AND(#REF!,"AAAAADr/91I=")</f>
        <v>#REF!</v>
      </c>
      <c r="CF81" t="e">
        <f>AND(#REF!,"AAAAADr/91M=")</f>
        <v>#REF!</v>
      </c>
      <c r="CG81" t="e">
        <f>AND(#REF!,"AAAAADr/91Q=")</f>
        <v>#REF!</v>
      </c>
      <c r="CH81" t="e">
        <f>AND(#REF!,"AAAAADr/91U=")</f>
        <v>#REF!</v>
      </c>
      <c r="CI81" t="e">
        <f>AND(#REF!,"AAAAADr/91Y=")</f>
        <v>#REF!</v>
      </c>
      <c r="CJ81" t="e">
        <f>AND(#REF!,"AAAAADr/91c=")</f>
        <v>#REF!</v>
      </c>
      <c r="CK81" t="e">
        <f>AND(#REF!,"AAAAADr/91g=")</f>
        <v>#REF!</v>
      </c>
      <c r="CL81" t="e">
        <f>AND(#REF!,"AAAAADr/91k=")</f>
        <v>#REF!</v>
      </c>
      <c r="CM81" t="e">
        <f>AND(#REF!,"AAAAADr/91o=")</f>
        <v>#REF!</v>
      </c>
      <c r="CN81" t="e">
        <f>AND(#REF!,"AAAAADr/91s=")</f>
        <v>#REF!</v>
      </c>
      <c r="CO81" t="e">
        <f>AND(#REF!,"AAAAADr/91w=")</f>
        <v>#REF!</v>
      </c>
      <c r="CP81" t="e">
        <f>AND(#REF!,"AAAAADr/910=")</f>
        <v>#REF!</v>
      </c>
      <c r="CQ81" t="e">
        <f>AND(#REF!,"AAAAADr/914=")</f>
        <v>#REF!</v>
      </c>
      <c r="CR81" t="e">
        <f>AND(#REF!,"AAAAADr/918=")</f>
        <v>#REF!</v>
      </c>
      <c r="CS81" t="e">
        <f>AND(#REF!,"AAAAADr/92A=")</f>
        <v>#REF!</v>
      </c>
      <c r="CT81" t="e">
        <f>AND(#REF!,"AAAAADr/92E=")</f>
        <v>#REF!</v>
      </c>
      <c r="CU81" t="e">
        <f>AND(#REF!,"AAAAADr/92I=")</f>
        <v>#REF!</v>
      </c>
      <c r="CV81" t="e">
        <f>AND(#REF!,"AAAAADr/92M=")</f>
        <v>#REF!</v>
      </c>
      <c r="CW81" t="e">
        <f>AND(#REF!,"AAAAADr/92Q=")</f>
        <v>#REF!</v>
      </c>
      <c r="CX81" t="e">
        <f>AND(#REF!,"AAAAADr/92U=")</f>
        <v>#REF!</v>
      </c>
      <c r="CY81" t="e">
        <f>AND(#REF!,"AAAAADr/92Y=")</f>
        <v>#REF!</v>
      </c>
      <c r="CZ81" t="e">
        <f>AND(#REF!,"AAAAADr/92c=")</f>
        <v>#REF!</v>
      </c>
      <c r="DA81" t="e">
        <f>AND(#REF!,"AAAAADr/92g=")</f>
        <v>#REF!</v>
      </c>
      <c r="DB81" t="e">
        <f>AND(#REF!,"AAAAADr/92k=")</f>
        <v>#REF!</v>
      </c>
      <c r="DC81" t="e">
        <f>AND(#REF!,"AAAAADr/92o=")</f>
        <v>#REF!</v>
      </c>
      <c r="DD81" t="e">
        <f>AND(#REF!,"AAAAADr/92s=")</f>
        <v>#REF!</v>
      </c>
      <c r="DE81" t="e">
        <f>AND(#REF!,"AAAAADr/92w=")</f>
        <v>#REF!</v>
      </c>
      <c r="DF81" t="e">
        <f>IF(#REF!,"AAAAADr/920=",0)</f>
        <v>#REF!</v>
      </c>
      <c r="DG81" t="e">
        <f>AND(#REF!,"AAAAADr/924=")</f>
        <v>#REF!</v>
      </c>
      <c r="DH81" t="e">
        <f>AND(#REF!,"AAAAADr/928=")</f>
        <v>#REF!</v>
      </c>
      <c r="DI81" t="e">
        <f>AND(#REF!,"AAAAADr/93A=")</f>
        <v>#REF!</v>
      </c>
      <c r="DJ81" t="e">
        <f>AND(#REF!,"AAAAADr/93E=")</f>
        <v>#REF!</v>
      </c>
      <c r="DK81" t="e">
        <f>AND(#REF!,"AAAAADr/93I=")</f>
        <v>#REF!</v>
      </c>
      <c r="DL81" t="e">
        <f>AND(#REF!,"AAAAADr/93M=")</f>
        <v>#REF!</v>
      </c>
      <c r="DM81" t="e">
        <f>AND(#REF!,"AAAAADr/93Q=")</f>
        <v>#REF!</v>
      </c>
      <c r="DN81" t="e">
        <f>AND(#REF!,"AAAAADr/93U=")</f>
        <v>#REF!</v>
      </c>
      <c r="DO81" t="e">
        <f>AND(#REF!,"AAAAADr/93Y=")</f>
        <v>#REF!</v>
      </c>
      <c r="DP81" t="e">
        <f>AND(#REF!,"AAAAADr/93c=")</f>
        <v>#REF!</v>
      </c>
      <c r="DQ81" t="e">
        <f>AND(#REF!,"AAAAADr/93g=")</f>
        <v>#REF!</v>
      </c>
      <c r="DR81" t="e">
        <f>AND(#REF!,"AAAAADr/93k=")</f>
        <v>#REF!</v>
      </c>
      <c r="DS81" t="e">
        <f>AND(#REF!,"AAAAADr/93o=")</f>
        <v>#REF!</v>
      </c>
      <c r="DT81" t="e">
        <f>AND(#REF!,"AAAAADr/93s=")</f>
        <v>#REF!</v>
      </c>
      <c r="DU81" t="e">
        <f>AND(#REF!,"AAAAADr/93w=")</f>
        <v>#REF!</v>
      </c>
      <c r="DV81" t="e">
        <f>AND(#REF!,"AAAAADr/930=")</f>
        <v>#REF!</v>
      </c>
      <c r="DW81" t="e">
        <f>AND(#REF!,"AAAAADr/934=")</f>
        <v>#REF!</v>
      </c>
      <c r="DX81" t="e">
        <f>AND(#REF!,"AAAAADr/938=")</f>
        <v>#REF!</v>
      </c>
      <c r="DY81" t="e">
        <f>AND(#REF!,"AAAAADr/94A=")</f>
        <v>#REF!</v>
      </c>
      <c r="DZ81" t="e">
        <f>AND(#REF!,"AAAAADr/94E=")</f>
        <v>#REF!</v>
      </c>
      <c r="EA81" t="e">
        <f>AND(#REF!,"AAAAADr/94I=")</f>
        <v>#REF!</v>
      </c>
      <c r="EB81" t="e">
        <f>AND(#REF!,"AAAAADr/94M=")</f>
        <v>#REF!</v>
      </c>
      <c r="EC81" t="e">
        <f>AND(#REF!,"AAAAADr/94Q=")</f>
        <v>#REF!</v>
      </c>
      <c r="ED81" t="e">
        <f>AND(#REF!,"AAAAADr/94U=")</f>
        <v>#REF!</v>
      </c>
      <c r="EE81" t="e">
        <f>AND(#REF!,"AAAAADr/94Y=")</f>
        <v>#REF!</v>
      </c>
      <c r="EF81" t="e">
        <f>AND(#REF!,"AAAAADr/94c=")</f>
        <v>#REF!</v>
      </c>
      <c r="EG81" t="e">
        <f>AND(#REF!,"AAAAADr/94g=")</f>
        <v>#REF!</v>
      </c>
      <c r="EH81" t="e">
        <f>AND(#REF!,"AAAAADr/94k=")</f>
        <v>#REF!</v>
      </c>
      <c r="EI81" t="e">
        <f>AND(#REF!,"AAAAADr/94o=")</f>
        <v>#REF!</v>
      </c>
      <c r="EJ81" t="e">
        <f>AND(#REF!,"AAAAADr/94s=")</f>
        <v>#REF!</v>
      </c>
      <c r="EK81" t="e">
        <f>AND(#REF!,"AAAAADr/94w=")</f>
        <v>#REF!</v>
      </c>
      <c r="EL81" t="e">
        <f>AND(#REF!,"AAAAADr/940=")</f>
        <v>#REF!</v>
      </c>
      <c r="EM81" t="e">
        <f>AND(#REF!,"AAAAADr/944=")</f>
        <v>#REF!</v>
      </c>
      <c r="EN81" t="e">
        <f>AND(#REF!,"AAAAADr/948=")</f>
        <v>#REF!</v>
      </c>
      <c r="EO81" t="e">
        <f>AND(#REF!,"AAAAADr/95A=")</f>
        <v>#REF!</v>
      </c>
      <c r="EP81" t="e">
        <f>AND(#REF!,"AAAAADr/95E=")</f>
        <v>#REF!</v>
      </c>
      <c r="EQ81" t="e">
        <f>AND(#REF!,"AAAAADr/95I=")</f>
        <v>#REF!</v>
      </c>
      <c r="ER81" t="e">
        <f>AND(#REF!,"AAAAADr/95M=")</f>
        <v>#REF!</v>
      </c>
      <c r="ES81" t="e">
        <f>AND(#REF!,"AAAAADr/95Q=")</f>
        <v>#REF!</v>
      </c>
      <c r="ET81" t="e">
        <f>AND(#REF!,"AAAAADr/95U=")</f>
        <v>#REF!</v>
      </c>
      <c r="EU81" t="e">
        <f>AND(#REF!,"AAAAADr/95Y=")</f>
        <v>#REF!</v>
      </c>
      <c r="EV81" t="e">
        <f>IF(#REF!,"AAAAADr/95c=",0)</f>
        <v>#REF!</v>
      </c>
      <c r="EW81" t="e">
        <f>AND(#REF!,"AAAAADr/95g=")</f>
        <v>#REF!</v>
      </c>
      <c r="EX81" t="e">
        <f>AND(#REF!,"AAAAADr/95k=")</f>
        <v>#REF!</v>
      </c>
      <c r="EY81" t="e">
        <f>AND(#REF!,"AAAAADr/95o=")</f>
        <v>#REF!</v>
      </c>
      <c r="EZ81" t="e">
        <f>AND(#REF!,"AAAAADr/95s=")</f>
        <v>#REF!</v>
      </c>
      <c r="FA81" t="e">
        <f>AND(#REF!,"AAAAADr/95w=")</f>
        <v>#REF!</v>
      </c>
      <c r="FB81" t="e">
        <f>AND(#REF!,"AAAAADr/950=")</f>
        <v>#REF!</v>
      </c>
      <c r="FC81" t="e">
        <f>AND(#REF!,"AAAAADr/954=")</f>
        <v>#REF!</v>
      </c>
      <c r="FD81" t="e">
        <f>AND(#REF!,"AAAAADr/958=")</f>
        <v>#REF!</v>
      </c>
      <c r="FE81" t="e">
        <f>AND(#REF!,"AAAAADr/96A=")</f>
        <v>#REF!</v>
      </c>
      <c r="FF81" t="e">
        <f>AND(#REF!,"AAAAADr/96E=")</f>
        <v>#REF!</v>
      </c>
      <c r="FG81" t="e">
        <f>AND(#REF!,"AAAAADr/96I=")</f>
        <v>#REF!</v>
      </c>
      <c r="FH81" t="e">
        <f>AND(#REF!,"AAAAADr/96M=")</f>
        <v>#REF!</v>
      </c>
      <c r="FI81" t="e">
        <f>AND(#REF!,"AAAAADr/96Q=")</f>
        <v>#REF!</v>
      </c>
      <c r="FJ81" t="e">
        <f>AND(#REF!,"AAAAADr/96U=")</f>
        <v>#REF!</v>
      </c>
      <c r="FK81" t="e">
        <f>AND(#REF!,"AAAAADr/96Y=")</f>
        <v>#REF!</v>
      </c>
      <c r="FL81" t="e">
        <f>AND(#REF!,"AAAAADr/96c=")</f>
        <v>#REF!</v>
      </c>
      <c r="FM81" t="e">
        <f>AND(#REF!,"AAAAADr/96g=")</f>
        <v>#REF!</v>
      </c>
      <c r="FN81" t="e">
        <f>AND(#REF!,"AAAAADr/96k=")</f>
        <v>#REF!</v>
      </c>
      <c r="FO81" t="e">
        <f>AND(#REF!,"AAAAADr/96o=")</f>
        <v>#REF!</v>
      </c>
      <c r="FP81" t="e">
        <f>AND(#REF!,"AAAAADr/96s=")</f>
        <v>#REF!</v>
      </c>
      <c r="FQ81" t="e">
        <f>AND(#REF!,"AAAAADr/96w=")</f>
        <v>#REF!</v>
      </c>
      <c r="FR81" t="e">
        <f>AND(#REF!,"AAAAADr/960=")</f>
        <v>#REF!</v>
      </c>
      <c r="FS81" t="e">
        <f>AND(#REF!,"AAAAADr/964=")</f>
        <v>#REF!</v>
      </c>
      <c r="FT81" t="e">
        <f>AND(#REF!,"AAAAADr/968=")</f>
        <v>#REF!</v>
      </c>
      <c r="FU81" t="e">
        <f>AND(#REF!,"AAAAADr/97A=")</f>
        <v>#REF!</v>
      </c>
      <c r="FV81" t="e">
        <f>AND(#REF!,"AAAAADr/97E=")</f>
        <v>#REF!</v>
      </c>
      <c r="FW81" t="e">
        <f>AND(#REF!,"AAAAADr/97I=")</f>
        <v>#REF!</v>
      </c>
      <c r="FX81" t="e">
        <f>AND(#REF!,"AAAAADr/97M=")</f>
        <v>#REF!</v>
      </c>
      <c r="FY81" t="e">
        <f>AND(#REF!,"AAAAADr/97Q=")</f>
        <v>#REF!</v>
      </c>
      <c r="FZ81" t="e">
        <f>AND(#REF!,"AAAAADr/97U=")</f>
        <v>#REF!</v>
      </c>
      <c r="GA81" t="e">
        <f>AND(#REF!,"AAAAADr/97Y=")</f>
        <v>#REF!</v>
      </c>
      <c r="GB81" t="e">
        <f>AND(#REF!,"AAAAADr/97c=")</f>
        <v>#REF!</v>
      </c>
      <c r="GC81" t="e">
        <f>AND(#REF!,"AAAAADr/97g=")</f>
        <v>#REF!</v>
      </c>
      <c r="GD81" t="e">
        <f>AND(#REF!,"AAAAADr/97k=")</f>
        <v>#REF!</v>
      </c>
      <c r="GE81" t="e">
        <f>AND(#REF!,"AAAAADr/97o=")</f>
        <v>#REF!</v>
      </c>
      <c r="GF81" t="e">
        <f>AND(#REF!,"AAAAADr/97s=")</f>
        <v>#REF!</v>
      </c>
      <c r="GG81" t="e">
        <f>AND(#REF!,"AAAAADr/97w=")</f>
        <v>#REF!</v>
      </c>
      <c r="GH81" t="e">
        <f>AND(#REF!,"AAAAADr/970=")</f>
        <v>#REF!</v>
      </c>
      <c r="GI81" t="e">
        <f>AND(#REF!,"AAAAADr/974=")</f>
        <v>#REF!</v>
      </c>
      <c r="GJ81" t="e">
        <f>AND(#REF!,"AAAAADr/978=")</f>
        <v>#REF!</v>
      </c>
      <c r="GK81" t="e">
        <f>AND(#REF!,"AAAAADr/98A=")</f>
        <v>#REF!</v>
      </c>
      <c r="GL81" t="e">
        <f>IF(#REF!,"AAAAADr/98E=",0)</f>
        <v>#REF!</v>
      </c>
      <c r="GM81" t="e">
        <f>AND(#REF!,"AAAAADr/98I=")</f>
        <v>#REF!</v>
      </c>
      <c r="GN81" t="e">
        <f>AND(#REF!,"AAAAADr/98M=")</f>
        <v>#REF!</v>
      </c>
      <c r="GO81" t="e">
        <f>AND(#REF!,"AAAAADr/98Q=")</f>
        <v>#REF!</v>
      </c>
      <c r="GP81" t="e">
        <f>AND(#REF!,"AAAAADr/98U=")</f>
        <v>#REF!</v>
      </c>
      <c r="GQ81" t="e">
        <f>AND(#REF!,"AAAAADr/98Y=")</f>
        <v>#REF!</v>
      </c>
      <c r="GR81" t="e">
        <f>AND(#REF!,"AAAAADr/98c=")</f>
        <v>#REF!</v>
      </c>
      <c r="GS81" t="e">
        <f>AND(#REF!,"AAAAADr/98g=")</f>
        <v>#REF!</v>
      </c>
      <c r="GT81" t="e">
        <f>AND(#REF!,"AAAAADr/98k=")</f>
        <v>#REF!</v>
      </c>
      <c r="GU81" t="e">
        <f>AND(#REF!,"AAAAADr/98o=")</f>
        <v>#REF!</v>
      </c>
      <c r="GV81" t="e">
        <f>AND(#REF!,"AAAAADr/98s=")</f>
        <v>#REF!</v>
      </c>
      <c r="GW81" t="e">
        <f>AND(#REF!,"AAAAADr/98w=")</f>
        <v>#REF!</v>
      </c>
      <c r="GX81" t="e">
        <f>AND(#REF!,"AAAAADr/980=")</f>
        <v>#REF!</v>
      </c>
      <c r="GY81" t="e">
        <f>AND(#REF!,"AAAAADr/984=")</f>
        <v>#REF!</v>
      </c>
      <c r="GZ81" t="e">
        <f>AND(#REF!,"AAAAADr/988=")</f>
        <v>#REF!</v>
      </c>
      <c r="HA81" t="e">
        <f>AND(#REF!,"AAAAADr/99A=")</f>
        <v>#REF!</v>
      </c>
      <c r="HB81" t="e">
        <f>AND(#REF!,"AAAAADr/99E=")</f>
        <v>#REF!</v>
      </c>
      <c r="HC81" t="e">
        <f>AND(#REF!,"AAAAADr/99I=")</f>
        <v>#REF!</v>
      </c>
      <c r="HD81" t="e">
        <f>AND(#REF!,"AAAAADr/99M=")</f>
        <v>#REF!</v>
      </c>
      <c r="HE81" t="e">
        <f>AND(#REF!,"AAAAADr/99Q=")</f>
        <v>#REF!</v>
      </c>
      <c r="HF81" t="e">
        <f>AND(#REF!,"AAAAADr/99U=")</f>
        <v>#REF!</v>
      </c>
      <c r="HG81" t="e">
        <f>AND(#REF!,"AAAAADr/99Y=")</f>
        <v>#REF!</v>
      </c>
      <c r="HH81" t="e">
        <f>AND(#REF!,"AAAAADr/99c=")</f>
        <v>#REF!</v>
      </c>
      <c r="HI81" t="e">
        <f>AND(#REF!,"AAAAADr/99g=")</f>
        <v>#REF!</v>
      </c>
      <c r="HJ81" t="e">
        <f>AND(#REF!,"AAAAADr/99k=")</f>
        <v>#REF!</v>
      </c>
      <c r="HK81" t="e">
        <f>AND(#REF!,"AAAAADr/99o=")</f>
        <v>#REF!</v>
      </c>
      <c r="HL81" t="e">
        <f>AND(#REF!,"AAAAADr/99s=")</f>
        <v>#REF!</v>
      </c>
      <c r="HM81" t="e">
        <f>AND(#REF!,"AAAAADr/99w=")</f>
        <v>#REF!</v>
      </c>
      <c r="HN81" t="e">
        <f>AND(#REF!,"AAAAADr/990=")</f>
        <v>#REF!</v>
      </c>
      <c r="HO81" t="e">
        <f>AND(#REF!,"AAAAADr/994=")</f>
        <v>#REF!</v>
      </c>
      <c r="HP81" t="e">
        <f>AND(#REF!,"AAAAADr/998=")</f>
        <v>#REF!</v>
      </c>
      <c r="HQ81" t="e">
        <f>AND(#REF!,"AAAAADr/9+A=")</f>
        <v>#REF!</v>
      </c>
      <c r="HR81" t="e">
        <f>AND(#REF!,"AAAAADr/9+E=")</f>
        <v>#REF!</v>
      </c>
      <c r="HS81" t="e">
        <f>AND(#REF!,"AAAAADr/9+I=")</f>
        <v>#REF!</v>
      </c>
      <c r="HT81" t="e">
        <f>AND(#REF!,"AAAAADr/9+M=")</f>
        <v>#REF!</v>
      </c>
      <c r="HU81" t="e">
        <f>AND(#REF!,"AAAAADr/9+Q=")</f>
        <v>#REF!</v>
      </c>
      <c r="HV81" t="e">
        <f>AND(#REF!,"AAAAADr/9+U=")</f>
        <v>#REF!</v>
      </c>
      <c r="HW81" t="e">
        <f>AND(#REF!,"AAAAADr/9+Y=")</f>
        <v>#REF!</v>
      </c>
      <c r="HX81" t="e">
        <f>AND(#REF!,"AAAAADr/9+c=")</f>
        <v>#REF!</v>
      </c>
      <c r="HY81" t="e">
        <f>AND(#REF!,"AAAAADr/9+g=")</f>
        <v>#REF!</v>
      </c>
      <c r="HZ81" t="e">
        <f>AND(#REF!,"AAAAADr/9+k=")</f>
        <v>#REF!</v>
      </c>
      <c r="IA81" t="e">
        <f>AND(#REF!,"AAAAADr/9+o=")</f>
        <v>#REF!</v>
      </c>
      <c r="IB81" t="e">
        <f>IF(#REF!,"AAAAADr/9+s=",0)</f>
        <v>#REF!</v>
      </c>
      <c r="IC81" t="e">
        <f>AND(#REF!,"AAAAADr/9+w=")</f>
        <v>#REF!</v>
      </c>
      <c r="ID81" t="e">
        <f>AND(#REF!,"AAAAADr/9+0=")</f>
        <v>#REF!</v>
      </c>
      <c r="IE81" t="e">
        <f>AND(#REF!,"AAAAADr/9+4=")</f>
        <v>#REF!</v>
      </c>
      <c r="IF81" t="e">
        <f>AND(#REF!,"AAAAADr/9+8=")</f>
        <v>#REF!</v>
      </c>
      <c r="IG81" t="e">
        <f>AND(#REF!,"AAAAADr/9/A=")</f>
        <v>#REF!</v>
      </c>
      <c r="IH81" t="e">
        <f>AND(#REF!,"AAAAADr/9/E=")</f>
        <v>#REF!</v>
      </c>
      <c r="II81" t="e">
        <f>AND(#REF!,"AAAAADr/9/I=")</f>
        <v>#REF!</v>
      </c>
      <c r="IJ81" t="e">
        <f>AND(#REF!,"AAAAADr/9/M=")</f>
        <v>#REF!</v>
      </c>
      <c r="IK81" t="e">
        <f>AND(#REF!,"AAAAADr/9/Q=")</f>
        <v>#REF!</v>
      </c>
      <c r="IL81" t="e">
        <f>AND(#REF!,"AAAAADr/9/U=")</f>
        <v>#REF!</v>
      </c>
      <c r="IM81" t="e">
        <f>AND(#REF!,"AAAAADr/9/Y=")</f>
        <v>#REF!</v>
      </c>
      <c r="IN81" t="e">
        <f>AND(#REF!,"AAAAADr/9/c=")</f>
        <v>#REF!</v>
      </c>
      <c r="IO81" t="e">
        <f>AND(#REF!,"AAAAADr/9/g=")</f>
        <v>#REF!</v>
      </c>
      <c r="IP81" t="e">
        <f>AND(#REF!,"AAAAADr/9/k=")</f>
        <v>#REF!</v>
      </c>
      <c r="IQ81" t="e">
        <f>AND(#REF!,"AAAAADr/9/o=")</f>
        <v>#REF!</v>
      </c>
      <c r="IR81" t="e">
        <f>AND(#REF!,"AAAAADr/9/s=")</f>
        <v>#REF!</v>
      </c>
      <c r="IS81" t="e">
        <f>AND(#REF!,"AAAAADr/9/w=")</f>
        <v>#REF!</v>
      </c>
      <c r="IT81" t="e">
        <f>AND(#REF!,"AAAAADr/9/0=")</f>
        <v>#REF!</v>
      </c>
      <c r="IU81" t="e">
        <f>AND(#REF!,"AAAAADr/9/4=")</f>
        <v>#REF!</v>
      </c>
      <c r="IV81" t="e">
        <f>AND(#REF!,"AAAAADr/9/8=")</f>
        <v>#REF!</v>
      </c>
    </row>
    <row r="82" spans="1:256">
      <c r="A82" t="e">
        <f>AND(#REF!,"AAAAADN+JwA=")</f>
        <v>#REF!</v>
      </c>
      <c r="B82" t="e">
        <f>AND(#REF!,"AAAAADN+JwE=")</f>
        <v>#REF!</v>
      </c>
      <c r="C82" t="e">
        <f>AND(#REF!,"AAAAADN+JwI=")</f>
        <v>#REF!</v>
      </c>
      <c r="D82" t="e">
        <f>AND(#REF!,"AAAAADN+JwM=")</f>
        <v>#REF!</v>
      </c>
      <c r="E82" t="e">
        <f>AND(#REF!,"AAAAADN+JwQ=")</f>
        <v>#REF!</v>
      </c>
      <c r="F82" t="e">
        <f>AND(#REF!,"AAAAADN+JwU=")</f>
        <v>#REF!</v>
      </c>
      <c r="G82" t="e">
        <f>AND(#REF!,"AAAAADN+JwY=")</f>
        <v>#REF!</v>
      </c>
      <c r="H82" t="e">
        <f>AND(#REF!,"AAAAADN+Jwc=")</f>
        <v>#REF!</v>
      </c>
      <c r="I82" t="e">
        <f>AND(#REF!,"AAAAADN+Jwg=")</f>
        <v>#REF!</v>
      </c>
      <c r="J82" t="e">
        <f>AND(#REF!,"AAAAADN+Jwk=")</f>
        <v>#REF!</v>
      </c>
      <c r="K82" t="e">
        <f>AND(#REF!,"AAAAADN+Jwo=")</f>
        <v>#REF!</v>
      </c>
      <c r="L82" t="e">
        <f>AND(#REF!,"AAAAADN+Jws=")</f>
        <v>#REF!</v>
      </c>
      <c r="M82" t="e">
        <f>AND(#REF!,"AAAAADN+Jww=")</f>
        <v>#REF!</v>
      </c>
      <c r="N82" t="e">
        <f>AND(#REF!,"AAAAADN+Jw0=")</f>
        <v>#REF!</v>
      </c>
      <c r="O82" t="e">
        <f>AND(#REF!,"AAAAADN+Jw4=")</f>
        <v>#REF!</v>
      </c>
      <c r="P82" t="e">
        <f>AND(#REF!,"AAAAADN+Jw8=")</f>
        <v>#REF!</v>
      </c>
      <c r="Q82" t="e">
        <f>AND(#REF!,"AAAAADN+JxA=")</f>
        <v>#REF!</v>
      </c>
      <c r="R82" t="e">
        <f>AND(#REF!,"AAAAADN+JxE=")</f>
        <v>#REF!</v>
      </c>
      <c r="S82" t="e">
        <f>AND(#REF!,"AAAAADN+JxI=")</f>
        <v>#REF!</v>
      </c>
      <c r="T82" t="e">
        <f>AND(#REF!,"AAAAADN+JxM=")</f>
        <v>#REF!</v>
      </c>
      <c r="U82" t="e">
        <f>AND(#REF!,"AAAAADN+JxQ=")</f>
        <v>#REF!</v>
      </c>
      <c r="V82" t="e">
        <f>IF(#REF!,"AAAAADN+JxU=",0)</f>
        <v>#REF!</v>
      </c>
      <c r="W82" t="e">
        <f>AND(#REF!,"AAAAADN+JxY=")</f>
        <v>#REF!</v>
      </c>
      <c r="X82" t="e">
        <f>AND(#REF!,"AAAAADN+Jxc=")</f>
        <v>#REF!</v>
      </c>
      <c r="Y82" t="e">
        <f>AND(#REF!,"AAAAADN+Jxg=")</f>
        <v>#REF!</v>
      </c>
      <c r="Z82" t="e">
        <f>AND(#REF!,"AAAAADN+Jxk=")</f>
        <v>#REF!</v>
      </c>
      <c r="AA82" t="e">
        <f>AND(#REF!,"AAAAADN+Jxo=")</f>
        <v>#REF!</v>
      </c>
      <c r="AB82" t="e">
        <f>AND(#REF!,"AAAAADN+Jxs=")</f>
        <v>#REF!</v>
      </c>
      <c r="AC82" t="e">
        <f>AND(#REF!,"AAAAADN+Jxw=")</f>
        <v>#REF!</v>
      </c>
      <c r="AD82" t="e">
        <f>AND(#REF!,"AAAAADN+Jx0=")</f>
        <v>#REF!</v>
      </c>
      <c r="AE82" t="e">
        <f>AND(#REF!,"AAAAADN+Jx4=")</f>
        <v>#REF!</v>
      </c>
      <c r="AF82" t="e">
        <f>AND(#REF!,"AAAAADN+Jx8=")</f>
        <v>#REF!</v>
      </c>
      <c r="AG82" t="e">
        <f>AND(#REF!,"AAAAADN+JyA=")</f>
        <v>#REF!</v>
      </c>
      <c r="AH82" t="e">
        <f>AND(#REF!,"AAAAADN+JyE=")</f>
        <v>#REF!</v>
      </c>
      <c r="AI82" t="e">
        <f>AND(#REF!,"AAAAADN+JyI=")</f>
        <v>#REF!</v>
      </c>
      <c r="AJ82" t="e">
        <f>AND(#REF!,"AAAAADN+JyM=")</f>
        <v>#REF!</v>
      </c>
      <c r="AK82" t="e">
        <f>AND(#REF!,"AAAAADN+JyQ=")</f>
        <v>#REF!</v>
      </c>
      <c r="AL82" t="e">
        <f>AND(#REF!,"AAAAADN+JyU=")</f>
        <v>#REF!</v>
      </c>
      <c r="AM82" t="e">
        <f>AND(#REF!,"AAAAADN+JyY=")</f>
        <v>#REF!</v>
      </c>
      <c r="AN82" t="e">
        <f>AND(#REF!,"AAAAADN+Jyc=")</f>
        <v>#REF!</v>
      </c>
      <c r="AO82" t="e">
        <f>AND(#REF!,"AAAAADN+Jyg=")</f>
        <v>#REF!</v>
      </c>
      <c r="AP82" t="e">
        <f>AND(#REF!,"AAAAADN+Jyk=")</f>
        <v>#REF!</v>
      </c>
      <c r="AQ82" t="e">
        <f>AND(#REF!,"AAAAADN+Jyo=")</f>
        <v>#REF!</v>
      </c>
      <c r="AR82" t="e">
        <f>AND(#REF!,"AAAAADN+Jys=")</f>
        <v>#REF!</v>
      </c>
      <c r="AS82" t="e">
        <f>AND(#REF!,"AAAAADN+Jyw=")</f>
        <v>#REF!</v>
      </c>
      <c r="AT82" t="e">
        <f>AND(#REF!,"AAAAADN+Jy0=")</f>
        <v>#REF!</v>
      </c>
      <c r="AU82" t="e">
        <f>AND(#REF!,"AAAAADN+Jy4=")</f>
        <v>#REF!</v>
      </c>
      <c r="AV82" t="e">
        <f>AND(#REF!,"AAAAADN+Jy8=")</f>
        <v>#REF!</v>
      </c>
      <c r="AW82" t="e">
        <f>AND(#REF!,"AAAAADN+JzA=")</f>
        <v>#REF!</v>
      </c>
      <c r="AX82" t="e">
        <f>AND(#REF!,"AAAAADN+JzE=")</f>
        <v>#REF!</v>
      </c>
      <c r="AY82" t="e">
        <f>AND(#REF!,"AAAAADN+JzI=")</f>
        <v>#REF!</v>
      </c>
      <c r="AZ82" t="e">
        <f>AND(#REF!,"AAAAADN+JzM=")</f>
        <v>#REF!</v>
      </c>
      <c r="BA82" t="e">
        <f>AND(#REF!,"AAAAADN+JzQ=")</f>
        <v>#REF!</v>
      </c>
      <c r="BB82" t="e">
        <f>AND(#REF!,"AAAAADN+JzU=")</f>
        <v>#REF!</v>
      </c>
      <c r="BC82" t="e">
        <f>AND(#REF!,"AAAAADN+JzY=")</f>
        <v>#REF!</v>
      </c>
      <c r="BD82" t="e">
        <f>AND(#REF!,"AAAAADN+Jzc=")</f>
        <v>#REF!</v>
      </c>
      <c r="BE82" t="e">
        <f>AND(#REF!,"AAAAADN+Jzg=")</f>
        <v>#REF!</v>
      </c>
      <c r="BF82" t="e">
        <f>AND(#REF!,"AAAAADN+Jzk=")</f>
        <v>#REF!</v>
      </c>
      <c r="BG82" t="e">
        <f>AND(#REF!,"AAAAADN+Jzo=")</f>
        <v>#REF!</v>
      </c>
      <c r="BH82" t="e">
        <f>AND(#REF!,"AAAAADN+Jzs=")</f>
        <v>#REF!</v>
      </c>
      <c r="BI82" t="e">
        <f>AND(#REF!,"AAAAADN+Jzw=")</f>
        <v>#REF!</v>
      </c>
      <c r="BJ82" t="e">
        <f>AND(#REF!,"AAAAADN+Jz0=")</f>
        <v>#REF!</v>
      </c>
      <c r="BK82" t="e">
        <f>AND(#REF!,"AAAAADN+Jz4=")</f>
        <v>#REF!</v>
      </c>
      <c r="BL82" t="e">
        <f>IF(#REF!,"AAAAADN+Jz8=",0)</f>
        <v>#REF!</v>
      </c>
      <c r="BM82" t="e">
        <f>AND(#REF!,"AAAAADN+J0A=")</f>
        <v>#REF!</v>
      </c>
      <c r="BN82" t="e">
        <f>AND(#REF!,"AAAAADN+J0E=")</f>
        <v>#REF!</v>
      </c>
      <c r="BO82" t="e">
        <f>AND(#REF!,"AAAAADN+J0I=")</f>
        <v>#REF!</v>
      </c>
      <c r="BP82" t="e">
        <f>AND(#REF!,"AAAAADN+J0M=")</f>
        <v>#REF!</v>
      </c>
      <c r="BQ82" t="e">
        <f>AND(#REF!,"AAAAADN+J0Q=")</f>
        <v>#REF!</v>
      </c>
      <c r="BR82" t="e">
        <f>AND(#REF!,"AAAAADN+J0U=")</f>
        <v>#REF!</v>
      </c>
      <c r="BS82" t="e">
        <f>AND(#REF!,"AAAAADN+J0Y=")</f>
        <v>#REF!</v>
      </c>
      <c r="BT82" t="e">
        <f>AND(#REF!,"AAAAADN+J0c=")</f>
        <v>#REF!</v>
      </c>
      <c r="BU82" t="e">
        <f>AND(#REF!,"AAAAADN+J0g=")</f>
        <v>#REF!</v>
      </c>
      <c r="BV82" t="e">
        <f>AND(#REF!,"AAAAADN+J0k=")</f>
        <v>#REF!</v>
      </c>
      <c r="BW82" t="e">
        <f>AND(#REF!,"AAAAADN+J0o=")</f>
        <v>#REF!</v>
      </c>
      <c r="BX82" t="e">
        <f>AND(#REF!,"AAAAADN+J0s=")</f>
        <v>#REF!</v>
      </c>
      <c r="BY82" t="e">
        <f>AND(#REF!,"AAAAADN+J0w=")</f>
        <v>#REF!</v>
      </c>
      <c r="BZ82" t="e">
        <f>AND(#REF!,"AAAAADN+J00=")</f>
        <v>#REF!</v>
      </c>
      <c r="CA82" t="e">
        <f>AND(#REF!,"AAAAADN+J04=")</f>
        <v>#REF!</v>
      </c>
      <c r="CB82" t="e">
        <f>AND(#REF!,"AAAAADN+J08=")</f>
        <v>#REF!</v>
      </c>
      <c r="CC82" t="e">
        <f>AND(#REF!,"AAAAADN+J1A=")</f>
        <v>#REF!</v>
      </c>
      <c r="CD82" t="e">
        <f>AND(#REF!,"AAAAADN+J1E=")</f>
        <v>#REF!</v>
      </c>
      <c r="CE82" t="e">
        <f>AND(#REF!,"AAAAADN+J1I=")</f>
        <v>#REF!</v>
      </c>
      <c r="CF82" t="e">
        <f>AND(#REF!,"AAAAADN+J1M=")</f>
        <v>#REF!</v>
      </c>
      <c r="CG82" t="e">
        <f>AND(#REF!,"AAAAADN+J1Q=")</f>
        <v>#REF!</v>
      </c>
      <c r="CH82" t="e">
        <f>AND(#REF!,"AAAAADN+J1U=")</f>
        <v>#REF!</v>
      </c>
      <c r="CI82" t="e">
        <f>AND(#REF!,"AAAAADN+J1Y=")</f>
        <v>#REF!</v>
      </c>
      <c r="CJ82" t="e">
        <f>AND(#REF!,"AAAAADN+J1c=")</f>
        <v>#REF!</v>
      </c>
      <c r="CK82" t="e">
        <f>AND(#REF!,"AAAAADN+J1g=")</f>
        <v>#REF!</v>
      </c>
      <c r="CL82" t="e">
        <f>AND(#REF!,"AAAAADN+J1k=")</f>
        <v>#REF!</v>
      </c>
      <c r="CM82" t="e">
        <f>AND(#REF!,"AAAAADN+J1o=")</f>
        <v>#REF!</v>
      </c>
      <c r="CN82" t="e">
        <f>AND(#REF!,"AAAAADN+J1s=")</f>
        <v>#REF!</v>
      </c>
      <c r="CO82" t="e">
        <f>AND(#REF!,"AAAAADN+J1w=")</f>
        <v>#REF!</v>
      </c>
      <c r="CP82" t="e">
        <f>AND(#REF!,"AAAAADN+J10=")</f>
        <v>#REF!</v>
      </c>
      <c r="CQ82" t="e">
        <f>AND(#REF!,"AAAAADN+J14=")</f>
        <v>#REF!</v>
      </c>
      <c r="CR82" t="e">
        <f>AND(#REF!,"AAAAADN+J18=")</f>
        <v>#REF!</v>
      </c>
      <c r="CS82" t="e">
        <f>AND(#REF!,"AAAAADN+J2A=")</f>
        <v>#REF!</v>
      </c>
      <c r="CT82" t="e">
        <f>AND(#REF!,"AAAAADN+J2E=")</f>
        <v>#REF!</v>
      </c>
      <c r="CU82" t="e">
        <f>AND(#REF!,"AAAAADN+J2I=")</f>
        <v>#REF!</v>
      </c>
      <c r="CV82" t="e">
        <f>AND(#REF!,"AAAAADN+J2M=")</f>
        <v>#REF!</v>
      </c>
      <c r="CW82" t="e">
        <f>AND(#REF!,"AAAAADN+J2Q=")</f>
        <v>#REF!</v>
      </c>
      <c r="CX82" t="e">
        <f>AND(#REF!,"AAAAADN+J2U=")</f>
        <v>#REF!</v>
      </c>
      <c r="CY82" t="e">
        <f>AND(#REF!,"AAAAADN+J2Y=")</f>
        <v>#REF!</v>
      </c>
      <c r="CZ82" t="e">
        <f>AND(#REF!,"AAAAADN+J2c=")</f>
        <v>#REF!</v>
      </c>
      <c r="DA82" t="e">
        <f>AND(#REF!,"AAAAADN+J2g=")</f>
        <v>#REF!</v>
      </c>
      <c r="DB82" t="e">
        <f>IF(#REF!,"AAAAADN+J2k=",0)</f>
        <v>#REF!</v>
      </c>
      <c r="DC82" t="e">
        <f>AND(#REF!,"AAAAADN+J2o=")</f>
        <v>#REF!</v>
      </c>
      <c r="DD82" t="e">
        <f>AND(#REF!,"AAAAADN+J2s=")</f>
        <v>#REF!</v>
      </c>
      <c r="DE82" t="e">
        <f>AND(#REF!,"AAAAADN+J2w=")</f>
        <v>#REF!</v>
      </c>
      <c r="DF82" t="e">
        <f>AND(#REF!,"AAAAADN+J20=")</f>
        <v>#REF!</v>
      </c>
      <c r="DG82" t="e">
        <f>AND(#REF!,"AAAAADN+J24=")</f>
        <v>#REF!</v>
      </c>
      <c r="DH82" t="e">
        <f>AND(#REF!,"AAAAADN+J28=")</f>
        <v>#REF!</v>
      </c>
      <c r="DI82" t="e">
        <f>AND(#REF!,"AAAAADN+J3A=")</f>
        <v>#REF!</v>
      </c>
      <c r="DJ82" t="e">
        <f>AND(#REF!,"AAAAADN+J3E=")</f>
        <v>#REF!</v>
      </c>
      <c r="DK82" t="e">
        <f>AND(#REF!,"AAAAADN+J3I=")</f>
        <v>#REF!</v>
      </c>
      <c r="DL82" t="e">
        <f>AND(#REF!,"AAAAADN+J3M=")</f>
        <v>#REF!</v>
      </c>
      <c r="DM82" t="e">
        <f>AND(#REF!,"AAAAADN+J3Q=")</f>
        <v>#REF!</v>
      </c>
      <c r="DN82" t="e">
        <f>AND(#REF!,"AAAAADN+J3U=")</f>
        <v>#REF!</v>
      </c>
      <c r="DO82" t="e">
        <f>AND(#REF!,"AAAAADN+J3Y=")</f>
        <v>#REF!</v>
      </c>
      <c r="DP82" t="e">
        <f>AND(#REF!,"AAAAADN+J3c=")</f>
        <v>#REF!</v>
      </c>
      <c r="DQ82" t="e">
        <f>AND(#REF!,"AAAAADN+J3g=")</f>
        <v>#REF!</v>
      </c>
      <c r="DR82" t="e">
        <f>AND(#REF!,"AAAAADN+J3k=")</f>
        <v>#REF!</v>
      </c>
      <c r="DS82" t="e">
        <f>AND(#REF!,"AAAAADN+J3o=")</f>
        <v>#REF!</v>
      </c>
      <c r="DT82" t="e">
        <f>AND(#REF!,"AAAAADN+J3s=")</f>
        <v>#REF!</v>
      </c>
      <c r="DU82" t="e">
        <f>AND(#REF!,"AAAAADN+J3w=")</f>
        <v>#REF!</v>
      </c>
      <c r="DV82" t="e">
        <f>AND(#REF!,"AAAAADN+J30=")</f>
        <v>#REF!</v>
      </c>
      <c r="DW82" t="e">
        <f>AND(#REF!,"AAAAADN+J34=")</f>
        <v>#REF!</v>
      </c>
      <c r="DX82" t="e">
        <f>AND(#REF!,"AAAAADN+J38=")</f>
        <v>#REF!</v>
      </c>
      <c r="DY82" t="e">
        <f>AND(#REF!,"AAAAADN+J4A=")</f>
        <v>#REF!</v>
      </c>
      <c r="DZ82" t="e">
        <f>AND(#REF!,"AAAAADN+J4E=")</f>
        <v>#REF!</v>
      </c>
      <c r="EA82" t="e">
        <f>AND(#REF!,"AAAAADN+J4I=")</f>
        <v>#REF!</v>
      </c>
      <c r="EB82" t="e">
        <f>AND(#REF!,"AAAAADN+J4M=")</f>
        <v>#REF!</v>
      </c>
      <c r="EC82" t="e">
        <f>AND(#REF!,"AAAAADN+J4Q=")</f>
        <v>#REF!</v>
      </c>
      <c r="ED82" t="e">
        <f>AND(#REF!,"AAAAADN+J4U=")</f>
        <v>#REF!</v>
      </c>
      <c r="EE82" t="e">
        <f>AND(#REF!,"AAAAADN+J4Y=")</f>
        <v>#REF!</v>
      </c>
      <c r="EF82" t="e">
        <f>AND(#REF!,"AAAAADN+J4c=")</f>
        <v>#REF!</v>
      </c>
      <c r="EG82" t="e">
        <f>AND(#REF!,"AAAAADN+J4g=")</f>
        <v>#REF!</v>
      </c>
      <c r="EH82" t="e">
        <f>AND(#REF!,"AAAAADN+J4k=")</f>
        <v>#REF!</v>
      </c>
      <c r="EI82" t="e">
        <f>AND(#REF!,"AAAAADN+J4o=")</f>
        <v>#REF!</v>
      </c>
      <c r="EJ82" t="e">
        <f>AND(#REF!,"AAAAADN+J4s=")</f>
        <v>#REF!</v>
      </c>
      <c r="EK82" t="e">
        <f>AND(#REF!,"AAAAADN+J4w=")</f>
        <v>#REF!</v>
      </c>
      <c r="EL82" t="e">
        <f>AND(#REF!,"AAAAADN+J40=")</f>
        <v>#REF!</v>
      </c>
      <c r="EM82" t="e">
        <f>AND(#REF!,"AAAAADN+J44=")</f>
        <v>#REF!</v>
      </c>
      <c r="EN82" t="e">
        <f>AND(#REF!,"AAAAADN+J48=")</f>
        <v>#REF!</v>
      </c>
      <c r="EO82" t="e">
        <f>AND(#REF!,"AAAAADN+J5A=")</f>
        <v>#REF!</v>
      </c>
      <c r="EP82" t="e">
        <f>AND(#REF!,"AAAAADN+J5E=")</f>
        <v>#REF!</v>
      </c>
      <c r="EQ82" t="e">
        <f>AND(#REF!,"AAAAADN+J5I=")</f>
        <v>#REF!</v>
      </c>
      <c r="ER82" t="e">
        <f>IF(#REF!,"AAAAADN+J5M=",0)</f>
        <v>#REF!</v>
      </c>
      <c r="ES82" t="e">
        <f>AND(#REF!,"AAAAADN+J5Q=")</f>
        <v>#REF!</v>
      </c>
      <c r="ET82" t="e">
        <f>AND(#REF!,"AAAAADN+J5U=")</f>
        <v>#REF!</v>
      </c>
      <c r="EU82" t="e">
        <f>AND(#REF!,"AAAAADN+J5Y=")</f>
        <v>#REF!</v>
      </c>
      <c r="EV82" t="e">
        <f>AND(#REF!,"AAAAADN+J5c=")</f>
        <v>#REF!</v>
      </c>
      <c r="EW82" t="e">
        <f>AND(#REF!,"AAAAADN+J5g=")</f>
        <v>#REF!</v>
      </c>
      <c r="EX82" t="e">
        <f>AND(#REF!,"AAAAADN+J5k=")</f>
        <v>#REF!</v>
      </c>
      <c r="EY82" t="e">
        <f>AND(#REF!,"AAAAADN+J5o=")</f>
        <v>#REF!</v>
      </c>
      <c r="EZ82" t="e">
        <f>AND(#REF!,"AAAAADN+J5s=")</f>
        <v>#REF!</v>
      </c>
      <c r="FA82" t="e">
        <f>AND(#REF!,"AAAAADN+J5w=")</f>
        <v>#REF!</v>
      </c>
      <c r="FB82" t="e">
        <f>AND(#REF!,"AAAAADN+J50=")</f>
        <v>#REF!</v>
      </c>
      <c r="FC82" t="e">
        <f>AND(#REF!,"AAAAADN+J54=")</f>
        <v>#REF!</v>
      </c>
      <c r="FD82" t="e">
        <f>AND(#REF!,"AAAAADN+J58=")</f>
        <v>#REF!</v>
      </c>
      <c r="FE82" t="e">
        <f>AND(#REF!,"AAAAADN+J6A=")</f>
        <v>#REF!</v>
      </c>
      <c r="FF82" t="e">
        <f>AND(#REF!,"AAAAADN+J6E=")</f>
        <v>#REF!</v>
      </c>
      <c r="FG82" t="e">
        <f>AND(#REF!,"AAAAADN+J6I=")</f>
        <v>#REF!</v>
      </c>
      <c r="FH82" t="e">
        <f>AND(#REF!,"AAAAADN+J6M=")</f>
        <v>#REF!</v>
      </c>
      <c r="FI82" t="e">
        <f>AND(#REF!,"AAAAADN+J6Q=")</f>
        <v>#REF!</v>
      </c>
      <c r="FJ82" t="e">
        <f>AND(#REF!,"AAAAADN+J6U=")</f>
        <v>#REF!</v>
      </c>
      <c r="FK82" t="e">
        <f>AND(#REF!,"AAAAADN+J6Y=")</f>
        <v>#REF!</v>
      </c>
      <c r="FL82" t="e">
        <f>AND(#REF!,"AAAAADN+J6c=")</f>
        <v>#REF!</v>
      </c>
      <c r="FM82" t="e">
        <f>AND(#REF!,"AAAAADN+J6g=")</f>
        <v>#REF!</v>
      </c>
      <c r="FN82" t="e">
        <f>AND(#REF!,"AAAAADN+J6k=")</f>
        <v>#REF!</v>
      </c>
      <c r="FO82" t="e">
        <f>AND(#REF!,"AAAAADN+J6o=")</f>
        <v>#REF!</v>
      </c>
      <c r="FP82" t="e">
        <f>AND(#REF!,"AAAAADN+J6s=")</f>
        <v>#REF!</v>
      </c>
      <c r="FQ82" t="e">
        <f>AND(#REF!,"AAAAADN+J6w=")</f>
        <v>#REF!</v>
      </c>
      <c r="FR82" t="e">
        <f>AND(#REF!,"AAAAADN+J60=")</f>
        <v>#REF!</v>
      </c>
      <c r="FS82" t="e">
        <f>AND(#REF!,"AAAAADN+J64=")</f>
        <v>#REF!</v>
      </c>
      <c r="FT82" t="e">
        <f>AND(#REF!,"AAAAADN+J68=")</f>
        <v>#REF!</v>
      </c>
      <c r="FU82" t="e">
        <f>AND(#REF!,"AAAAADN+J7A=")</f>
        <v>#REF!</v>
      </c>
      <c r="FV82" t="e">
        <f>AND(#REF!,"AAAAADN+J7E=")</f>
        <v>#REF!</v>
      </c>
      <c r="FW82" t="e">
        <f>AND(#REF!,"AAAAADN+J7I=")</f>
        <v>#REF!</v>
      </c>
      <c r="FX82" t="e">
        <f>AND(#REF!,"AAAAADN+J7M=")</f>
        <v>#REF!</v>
      </c>
      <c r="FY82" t="e">
        <f>AND(#REF!,"AAAAADN+J7Q=")</f>
        <v>#REF!</v>
      </c>
      <c r="FZ82" t="e">
        <f>AND(#REF!,"AAAAADN+J7U=")</f>
        <v>#REF!</v>
      </c>
      <c r="GA82" t="e">
        <f>AND(#REF!,"AAAAADN+J7Y=")</f>
        <v>#REF!</v>
      </c>
      <c r="GB82" t="e">
        <f>AND(#REF!,"AAAAADN+J7c=")</f>
        <v>#REF!</v>
      </c>
      <c r="GC82" t="e">
        <f>AND(#REF!,"AAAAADN+J7g=")</f>
        <v>#REF!</v>
      </c>
      <c r="GD82" t="e">
        <f>AND(#REF!,"AAAAADN+J7k=")</f>
        <v>#REF!</v>
      </c>
      <c r="GE82" t="e">
        <f>AND(#REF!,"AAAAADN+J7o=")</f>
        <v>#REF!</v>
      </c>
      <c r="GF82" t="e">
        <f>AND(#REF!,"AAAAADN+J7s=")</f>
        <v>#REF!</v>
      </c>
      <c r="GG82" t="e">
        <f>AND(#REF!,"AAAAADN+J7w=")</f>
        <v>#REF!</v>
      </c>
      <c r="GH82" t="e">
        <f>IF(#REF!,"AAAAADN+J70=",0)</f>
        <v>#REF!</v>
      </c>
      <c r="GI82" t="e">
        <f>AND(#REF!,"AAAAADN+J74=")</f>
        <v>#REF!</v>
      </c>
      <c r="GJ82" t="e">
        <f>AND(#REF!,"AAAAADN+J78=")</f>
        <v>#REF!</v>
      </c>
      <c r="GK82" t="e">
        <f>AND(#REF!,"AAAAADN+J8A=")</f>
        <v>#REF!</v>
      </c>
      <c r="GL82" t="e">
        <f>AND(#REF!,"AAAAADN+J8E=")</f>
        <v>#REF!</v>
      </c>
      <c r="GM82" t="e">
        <f>AND(#REF!,"AAAAADN+J8I=")</f>
        <v>#REF!</v>
      </c>
      <c r="GN82" t="e">
        <f>AND(#REF!,"AAAAADN+J8M=")</f>
        <v>#REF!</v>
      </c>
      <c r="GO82" t="e">
        <f>AND(#REF!,"AAAAADN+J8Q=")</f>
        <v>#REF!</v>
      </c>
      <c r="GP82" t="e">
        <f>AND(#REF!,"AAAAADN+J8U=")</f>
        <v>#REF!</v>
      </c>
      <c r="GQ82" t="e">
        <f>AND(#REF!,"AAAAADN+J8Y=")</f>
        <v>#REF!</v>
      </c>
      <c r="GR82" t="e">
        <f>AND(#REF!,"AAAAADN+J8c=")</f>
        <v>#REF!</v>
      </c>
      <c r="GS82" t="e">
        <f>AND(#REF!,"AAAAADN+J8g=")</f>
        <v>#REF!</v>
      </c>
      <c r="GT82" t="e">
        <f>AND(#REF!,"AAAAADN+J8k=")</f>
        <v>#REF!</v>
      </c>
      <c r="GU82" t="e">
        <f>AND(#REF!,"AAAAADN+J8o=")</f>
        <v>#REF!</v>
      </c>
      <c r="GV82" t="e">
        <f>AND(#REF!,"AAAAADN+J8s=")</f>
        <v>#REF!</v>
      </c>
      <c r="GW82" t="e">
        <f>AND(#REF!,"AAAAADN+J8w=")</f>
        <v>#REF!</v>
      </c>
      <c r="GX82" t="e">
        <f>AND(#REF!,"AAAAADN+J80=")</f>
        <v>#REF!</v>
      </c>
      <c r="GY82" t="e">
        <f>AND(#REF!,"AAAAADN+J84=")</f>
        <v>#REF!</v>
      </c>
      <c r="GZ82" t="e">
        <f>AND(#REF!,"AAAAADN+J88=")</f>
        <v>#REF!</v>
      </c>
      <c r="HA82" t="e">
        <f>AND(#REF!,"AAAAADN+J9A=")</f>
        <v>#REF!</v>
      </c>
      <c r="HB82" t="e">
        <f>AND(#REF!,"AAAAADN+J9E=")</f>
        <v>#REF!</v>
      </c>
      <c r="HC82" t="e">
        <f>AND(#REF!,"AAAAADN+J9I=")</f>
        <v>#REF!</v>
      </c>
      <c r="HD82" t="e">
        <f>AND(#REF!,"AAAAADN+J9M=")</f>
        <v>#REF!</v>
      </c>
      <c r="HE82" t="e">
        <f>AND(#REF!,"AAAAADN+J9Q=")</f>
        <v>#REF!</v>
      </c>
      <c r="HF82" t="e">
        <f>AND(#REF!,"AAAAADN+J9U=")</f>
        <v>#REF!</v>
      </c>
      <c r="HG82" t="e">
        <f>AND(#REF!,"AAAAADN+J9Y=")</f>
        <v>#REF!</v>
      </c>
      <c r="HH82" t="e">
        <f>AND(#REF!,"AAAAADN+J9c=")</f>
        <v>#REF!</v>
      </c>
      <c r="HI82" t="e">
        <f>AND(#REF!,"AAAAADN+J9g=")</f>
        <v>#REF!</v>
      </c>
      <c r="HJ82" t="e">
        <f>AND(#REF!,"AAAAADN+J9k=")</f>
        <v>#REF!</v>
      </c>
      <c r="HK82" t="e">
        <f>AND(#REF!,"AAAAADN+J9o=")</f>
        <v>#REF!</v>
      </c>
      <c r="HL82" t="e">
        <f>AND(#REF!,"AAAAADN+J9s=")</f>
        <v>#REF!</v>
      </c>
      <c r="HM82" t="e">
        <f>AND(#REF!,"AAAAADN+J9w=")</f>
        <v>#REF!</v>
      </c>
      <c r="HN82" t="e">
        <f>AND(#REF!,"AAAAADN+J90=")</f>
        <v>#REF!</v>
      </c>
      <c r="HO82" t="e">
        <f>AND(#REF!,"AAAAADN+J94=")</f>
        <v>#REF!</v>
      </c>
      <c r="HP82" t="e">
        <f>AND(#REF!,"AAAAADN+J98=")</f>
        <v>#REF!</v>
      </c>
      <c r="HQ82" t="e">
        <f>AND(#REF!,"AAAAADN+J+A=")</f>
        <v>#REF!</v>
      </c>
      <c r="HR82" t="e">
        <f>AND(#REF!,"AAAAADN+J+E=")</f>
        <v>#REF!</v>
      </c>
      <c r="HS82" t="e">
        <f>AND(#REF!,"AAAAADN+J+I=")</f>
        <v>#REF!</v>
      </c>
      <c r="HT82" t="e">
        <f>AND(#REF!,"AAAAADN+J+M=")</f>
        <v>#REF!</v>
      </c>
      <c r="HU82" t="e">
        <f>AND(#REF!,"AAAAADN+J+Q=")</f>
        <v>#REF!</v>
      </c>
      <c r="HV82" t="e">
        <f>AND(#REF!,"AAAAADN+J+U=")</f>
        <v>#REF!</v>
      </c>
      <c r="HW82" t="e">
        <f>AND(#REF!,"AAAAADN+J+Y=")</f>
        <v>#REF!</v>
      </c>
      <c r="HX82" t="e">
        <f>IF(#REF!,"AAAAADN+J+c=",0)</f>
        <v>#REF!</v>
      </c>
      <c r="HY82" t="e">
        <f>AND(#REF!,"AAAAADN+J+g=")</f>
        <v>#REF!</v>
      </c>
      <c r="HZ82" t="e">
        <f>AND(#REF!,"AAAAADN+J+k=")</f>
        <v>#REF!</v>
      </c>
      <c r="IA82" t="e">
        <f>AND(#REF!,"AAAAADN+J+o=")</f>
        <v>#REF!</v>
      </c>
      <c r="IB82" t="e">
        <f>AND(#REF!,"AAAAADN+J+s=")</f>
        <v>#REF!</v>
      </c>
      <c r="IC82" t="e">
        <f>AND(#REF!,"AAAAADN+J+w=")</f>
        <v>#REF!</v>
      </c>
      <c r="ID82" t="e">
        <f>AND(#REF!,"AAAAADN+J+0=")</f>
        <v>#REF!</v>
      </c>
      <c r="IE82" t="e">
        <f>AND(#REF!,"AAAAADN+J+4=")</f>
        <v>#REF!</v>
      </c>
      <c r="IF82" t="e">
        <f>AND(#REF!,"AAAAADN+J+8=")</f>
        <v>#REF!</v>
      </c>
      <c r="IG82" t="e">
        <f>AND(#REF!,"AAAAADN+J/A=")</f>
        <v>#REF!</v>
      </c>
      <c r="IH82" t="e">
        <f>AND(#REF!,"AAAAADN+J/E=")</f>
        <v>#REF!</v>
      </c>
      <c r="II82" t="e">
        <f>AND(#REF!,"AAAAADN+J/I=")</f>
        <v>#REF!</v>
      </c>
      <c r="IJ82" t="e">
        <f>AND(#REF!,"AAAAADN+J/M=")</f>
        <v>#REF!</v>
      </c>
      <c r="IK82" t="e">
        <f>AND(#REF!,"AAAAADN+J/Q=")</f>
        <v>#REF!</v>
      </c>
      <c r="IL82" t="e">
        <f>AND(#REF!,"AAAAADN+J/U=")</f>
        <v>#REF!</v>
      </c>
      <c r="IM82" t="e">
        <f>AND(#REF!,"AAAAADN+J/Y=")</f>
        <v>#REF!</v>
      </c>
      <c r="IN82" t="e">
        <f>AND(#REF!,"AAAAADN+J/c=")</f>
        <v>#REF!</v>
      </c>
      <c r="IO82" t="e">
        <f>AND(#REF!,"AAAAADN+J/g=")</f>
        <v>#REF!</v>
      </c>
      <c r="IP82" t="e">
        <f>AND(#REF!,"AAAAADN+J/k=")</f>
        <v>#REF!</v>
      </c>
      <c r="IQ82" t="e">
        <f>AND(#REF!,"AAAAADN+J/o=")</f>
        <v>#REF!</v>
      </c>
      <c r="IR82" t="e">
        <f>AND(#REF!,"AAAAADN+J/s=")</f>
        <v>#REF!</v>
      </c>
      <c r="IS82" t="e">
        <f>AND(#REF!,"AAAAADN+J/w=")</f>
        <v>#REF!</v>
      </c>
      <c r="IT82" t="e">
        <f>AND(#REF!,"AAAAADN+J/0=")</f>
        <v>#REF!</v>
      </c>
      <c r="IU82" t="e">
        <f>AND(#REF!,"AAAAADN+J/4=")</f>
        <v>#REF!</v>
      </c>
      <c r="IV82" t="e">
        <f>AND(#REF!,"AAAAADN+J/8=")</f>
        <v>#REF!</v>
      </c>
    </row>
    <row r="83" spans="1:256">
      <c r="A83" t="e">
        <f>AND(#REF!,"AAAAAFzv5wA=")</f>
        <v>#REF!</v>
      </c>
      <c r="B83" t="e">
        <f>AND(#REF!,"AAAAAFzv5wE=")</f>
        <v>#REF!</v>
      </c>
      <c r="C83" t="e">
        <f>AND(#REF!,"AAAAAFzv5wI=")</f>
        <v>#REF!</v>
      </c>
      <c r="D83" t="e">
        <f>AND(#REF!,"AAAAAFzv5wM=")</f>
        <v>#REF!</v>
      </c>
      <c r="E83" t="e">
        <f>AND(#REF!,"AAAAAFzv5wQ=")</f>
        <v>#REF!</v>
      </c>
      <c r="F83" t="e">
        <f>AND(#REF!,"AAAAAFzv5wU=")</f>
        <v>#REF!</v>
      </c>
      <c r="G83" t="e">
        <f>AND(#REF!,"AAAAAFzv5wY=")</f>
        <v>#REF!</v>
      </c>
      <c r="H83" t="e">
        <f>AND(#REF!,"AAAAAFzv5wc=")</f>
        <v>#REF!</v>
      </c>
      <c r="I83" t="e">
        <f>AND(#REF!,"AAAAAFzv5wg=")</f>
        <v>#REF!</v>
      </c>
      <c r="J83" t="e">
        <f>AND(#REF!,"AAAAAFzv5wk=")</f>
        <v>#REF!</v>
      </c>
      <c r="K83" t="e">
        <f>AND(#REF!,"AAAAAFzv5wo=")</f>
        <v>#REF!</v>
      </c>
      <c r="L83" t="e">
        <f>AND(#REF!,"AAAAAFzv5ws=")</f>
        <v>#REF!</v>
      </c>
      <c r="M83" t="e">
        <f>AND(#REF!,"AAAAAFzv5ww=")</f>
        <v>#REF!</v>
      </c>
      <c r="N83" t="e">
        <f>AND(#REF!,"AAAAAFzv5w0=")</f>
        <v>#REF!</v>
      </c>
      <c r="O83" t="e">
        <f>AND(#REF!,"AAAAAFzv5w4=")</f>
        <v>#REF!</v>
      </c>
      <c r="P83" t="e">
        <f>AND(#REF!,"AAAAAFzv5w8=")</f>
        <v>#REF!</v>
      </c>
      <c r="Q83" t="e">
        <f>AND(#REF!,"AAAAAFzv5xA=")</f>
        <v>#REF!</v>
      </c>
      <c r="R83" t="e">
        <f>IF(#REF!,"AAAAAFzv5xE=",0)</f>
        <v>#REF!</v>
      </c>
      <c r="S83" t="e">
        <f>AND(#REF!,"AAAAAFzv5xI=")</f>
        <v>#REF!</v>
      </c>
      <c r="T83" t="e">
        <f>AND(#REF!,"AAAAAFzv5xM=")</f>
        <v>#REF!</v>
      </c>
      <c r="U83" t="e">
        <f>AND(#REF!,"AAAAAFzv5xQ=")</f>
        <v>#REF!</v>
      </c>
      <c r="V83" t="e">
        <f>AND(#REF!,"AAAAAFzv5xU=")</f>
        <v>#REF!</v>
      </c>
      <c r="W83" t="e">
        <f>AND(#REF!,"AAAAAFzv5xY=")</f>
        <v>#REF!</v>
      </c>
      <c r="X83" t="e">
        <f>AND(#REF!,"AAAAAFzv5xc=")</f>
        <v>#REF!</v>
      </c>
      <c r="Y83" t="e">
        <f>AND(#REF!,"AAAAAFzv5xg=")</f>
        <v>#REF!</v>
      </c>
      <c r="Z83" t="e">
        <f>AND(#REF!,"AAAAAFzv5xk=")</f>
        <v>#REF!</v>
      </c>
      <c r="AA83" t="e">
        <f>AND(#REF!,"AAAAAFzv5xo=")</f>
        <v>#REF!</v>
      </c>
      <c r="AB83" t="e">
        <f>AND(#REF!,"AAAAAFzv5xs=")</f>
        <v>#REF!</v>
      </c>
      <c r="AC83" t="e">
        <f>AND(#REF!,"AAAAAFzv5xw=")</f>
        <v>#REF!</v>
      </c>
      <c r="AD83" t="e">
        <f>AND(#REF!,"AAAAAFzv5x0=")</f>
        <v>#REF!</v>
      </c>
      <c r="AE83" t="e">
        <f>AND(#REF!,"AAAAAFzv5x4=")</f>
        <v>#REF!</v>
      </c>
      <c r="AF83" t="e">
        <f>AND(#REF!,"AAAAAFzv5x8=")</f>
        <v>#REF!</v>
      </c>
      <c r="AG83" t="e">
        <f>AND(#REF!,"AAAAAFzv5yA=")</f>
        <v>#REF!</v>
      </c>
      <c r="AH83" t="e">
        <f>AND(#REF!,"AAAAAFzv5yE=")</f>
        <v>#REF!</v>
      </c>
      <c r="AI83" t="e">
        <f>AND(#REF!,"AAAAAFzv5yI=")</f>
        <v>#REF!</v>
      </c>
      <c r="AJ83" t="e">
        <f>AND(#REF!,"AAAAAFzv5yM=")</f>
        <v>#REF!</v>
      </c>
      <c r="AK83" t="e">
        <f>AND(#REF!,"AAAAAFzv5yQ=")</f>
        <v>#REF!</v>
      </c>
      <c r="AL83" t="e">
        <f>AND(#REF!,"AAAAAFzv5yU=")</f>
        <v>#REF!</v>
      </c>
      <c r="AM83" t="e">
        <f>AND(#REF!,"AAAAAFzv5yY=")</f>
        <v>#REF!</v>
      </c>
      <c r="AN83" t="e">
        <f>AND(#REF!,"AAAAAFzv5yc=")</f>
        <v>#REF!</v>
      </c>
      <c r="AO83" t="e">
        <f>AND(#REF!,"AAAAAFzv5yg=")</f>
        <v>#REF!</v>
      </c>
      <c r="AP83" t="e">
        <f>AND(#REF!,"AAAAAFzv5yk=")</f>
        <v>#REF!</v>
      </c>
      <c r="AQ83" t="e">
        <f>AND(#REF!,"AAAAAFzv5yo=")</f>
        <v>#REF!</v>
      </c>
      <c r="AR83" t="e">
        <f>AND(#REF!,"AAAAAFzv5ys=")</f>
        <v>#REF!</v>
      </c>
      <c r="AS83" t="e">
        <f>AND(#REF!,"AAAAAFzv5yw=")</f>
        <v>#REF!</v>
      </c>
      <c r="AT83" t="e">
        <f>AND(#REF!,"AAAAAFzv5y0=")</f>
        <v>#REF!</v>
      </c>
      <c r="AU83" t="e">
        <f>AND(#REF!,"AAAAAFzv5y4=")</f>
        <v>#REF!</v>
      </c>
      <c r="AV83" t="e">
        <f>AND(#REF!,"AAAAAFzv5y8=")</f>
        <v>#REF!</v>
      </c>
      <c r="AW83" t="e">
        <f>AND(#REF!,"AAAAAFzv5zA=")</f>
        <v>#REF!</v>
      </c>
      <c r="AX83" t="e">
        <f>AND(#REF!,"AAAAAFzv5zE=")</f>
        <v>#REF!</v>
      </c>
      <c r="AY83" t="e">
        <f>AND(#REF!,"AAAAAFzv5zI=")</f>
        <v>#REF!</v>
      </c>
      <c r="AZ83" t="e">
        <f>AND(#REF!,"AAAAAFzv5zM=")</f>
        <v>#REF!</v>
      </c>
      <c r="BA83" t="e">
        <f>AND(#REF!,"AAAAAFzv5zQ=")</f>
        <v>#REF!</v>
      </c>
      <c r="BB83" t="e">
        <f>AND(#REF!,"AAAAAFzv5zU=")</f>
        <v>#REF!</v>
      </c>
      <c r="BC83" t="e">
        <f>AND(#REF!,"AAAAAFzv5zY=")</f>
        <v>#REF!</v>
      </c>
      <c r="BD83" t="e">
        <f>AND(#REF!,"AAAAAFzv5zc=")</f>
        <v>#REF!</v>
      </c>
      <c r="BE83" t="e">
        <f>AND(#REF!,"AAAAAFzv5zg=")</f>
        <v>#REF!</v>
      </c>
      <c r="BF83" t="e">
        <f>AND(#REF!,"AAAAAFzv5zk=")</f>
        <v>#REF!</v>
      </c>
      <c r="BG83" t="e">
        <f>AND(#REF!,"AAAAAFzv5zo=")</f>
        <v>#REF!</v>
      </c>
      <c r="BH83" t="e">
        <f>IF(#REF!,"AAAAAFzv5zs=",0)</f>
        <v>#REF!</v>
      </c>
      <c r="BI83" t="e">
        <f>AND(#REF!,"AAAAAFzv5zw=")</f>
        <v>#REF!</v>
      </c>
      <c r="BJ83" t="e">
        <f>AND(#REF!,"AAAAAFzv5z0=")</f>
        <v>#REF!</v>
      </c>
      <c r="BK83" t="e">
        <f>AND(#REF!,"AAAAAFzv5z4=")</f>
        <v>#REF!</v>
      </c>
      <c r="BL83" t="e">
        <f>AND(#REF!,"AAAAAFzv5z8=")</f>
        <v>#REF!</v>
      </c>
      <c r="BM83" t="e">
        <f>AND(#REF!,"AAAAAFzv50A=")</f>
        <v>#REF!</v>
      </c>
      <c r="BN83" t="e">
        <f>AND(#REF!,"AAAAAFzv50E=")</f>
        <v>#REF!</v>
      </c>
      <c r="BO83" t="e">
        <f>AND(#REF!,"AAAAAFzv50I=")</f>
        <v>#REF!</v>
      </c>
      <c r="BP83" t="e">
        <f>AND(#REF!,"AAAAAFzv50M=")</f>
        <v>#REF!</v>
      </c>
      <c r="BQ83" t="e">
        <f>AND(#REF!,"AAAAAFzv50Q=")</f>
        <v>#REF!</v>
      </c>
      <c r="BR83" t="e">
        <f>AND(#REF!,"AAAAAFzv50U=")</f>
        <v>#REF!</v>
      </c>
      <c r="BS83" t="e">
        <f>AND(#REF!,"AAAAAFzv50Y=")</f>
        <v>#REF!</v>
      </c>
      <c r="BT83" t="e">
        <f>AND(#REF!,"AAAAAFzv50c=")</f>
        <v>#REF!</v>
      </c>
      <c r="BU83" t="e">
        <f>AND(#REF!,"AAAAAFzv50g=")</f>
        <v>#REF!</v>
      </c>
      <c r="BV83" t="e">
        <f>AND(#REF!,"AAAAAFzv50k=")</f>
        <v>#REF!</v>
      </c>
      <c r="BW83" t="e">
        <f>AND(#REF!,"AAAAAFzv50o=")</f>
        <v>#REF!</v>
      </c>
      <c r="BX83" t="e">
        <f>AND(#REF!,"AAAAAFzv50s=")</f>
        <v>#REF!</v>
      </c>
      <c r="BY83" t="e">
        <f>AND(#REF!,"AAAAAFzv50w=")</f>
        <v>#REF!</v>
      </c>
      <c r="BZ83" t="e">
        <f>AND(#REF!,"AAAAAFzv500=")</f>
        <v>#REF!</v>
      </c>
      <c r="CA83" t="e">
        <f>AND(#REF!,"AAAAAFzv504=")</f>
        <v>#REF!</v>
      </c>
      <c r="CB83" t="e">
        <f>AND(#REF!,"AAAAAFzv508=")</f>
        <v>#REF!</v>
      </c>
      <c r="CC83" t="e">
        <f>AND(#REF!,"AAAAAFzv51A=")</f>
        <v>#REF!</v>
      </c>
      <c r="CD83" t="e">
        <f>AND(#REF!,"AAAAAFzv51E=")</f>
        <v>#REF!</v>
      </c>
      <c r="CE83" t="e">
        <f>AND(#REF!,"AAAAAFzv51I=")</f>
        <v>#REF!</v>
      </c>
      <c r="CF83" t="e">
        <f>AND(#REF!,"AAAAAFzv51M=")</f>
        <v>#REF!</v>
      </c>
      <c r="CG83" t="e">
        <f>AND(#REF!,"AAAAAFzv51Q=")</f>
        <v>#REF!</v>
      </c>
      <c r="CH83" t="e">
        <f>AND(#REF!,"AAAAAFzv51U=")</f>
        <v>#REF!</v>
      </c>
      <c r="CI83" t="e">
        <f>AND(#REF!,"AAAAAFzv51Y=")</f>
        <v>#REF!</v>
      </c>
      <c r="CJ83" t="e">
        <f>AND(#REF!,"AAAAAFzv51c=")</f>
        <v>#REF!</v>
      </c>
      <c r="CK83" t="e">
        <f>AND(#REF!,"AAAAAFzv51g=")</f>
        <v>#REF!</v>
      </c>
      <c r="CL83" t="e">
        <f>AND(#REF!,"AAAAAFzv51k=")</f>
        <v>#REF!</v>
      </c>
      <c r="CM83" t="e">
        <f>AND(#REF!,"AAAAAFzv51o=")</f>
        <v>#REF!</v>
      </c>
      <c r="CN83" t="e">
        <f>AND(#REF!,"AAAAAFzv51s=")</f>
        <v>#REF!</v>
      </c>
      <c r="CO83" t="e">
        <f>AND(#REF!,"AAAAAFzv51w=")</f>
        <v>#REF!</v>
      </c>
      <c r="CP83" t="e">
        <f>AND(#REF!,"AAAAAFzv510=")</f>
        <v>#REF!</v>
      </c>
      <c r="CQ83" t="e">
        <f>AND(#REF!,"AAAAAFzv514=")</f>
        <v>#REF!</v>
      </c>
      <c r="CR83" t="e">
        <f>AND(#REF!,"AAAAAFzv518=")</f>
        <v>#REF!</v>
      </c>
      <c r="CS83" t="e">
        <f>AND(#REF!,"AAAAAFzv52A=")</f>
        <v>#REF!</v>
      </c>
      <c r="CT83" t="e">
        <f>AND(#REF!,"AAAAAFzv52E=")</f>
        <v>#REF!</v>
      </c>
      <c r="CU83" t="e">
        <f>AND(#REF!,"AAAAAFzv52I=")</f>
        <v>#REF!</v>
      </c>
      <c r="CV83" t="e">
        <f>AND(#REF!,"AAAAAFzv52M=")</f>
        <v>#REF!</v>
      </c>
      <c r="CW83" t="e">
        <f>AND(#REF!,"AAAAAFzv52Q=")</f>
        <v>#REF!</v>
      </c>
      <c r="CX83" t="e">
        <f>IF(#REF!,"AAAAAFzv52U=",0)</f>
        <v>#REF!</v>
      </c>
      <c r="CY83" t="e">
        <f>AND(#REF!,"AAAAAFzv52Y=")</f>
        <v>#REF!</v>
      </c>
      <c r="CZ83" t="e">
        <f>AND(#REF!,"AAAAAFzv52c=")</f>
        <v>#REF!</v>
      </c>
      <c r="DA83" t="e">
        <f>AND(#REF!,"AAAAAFzv52g=")</f>
        <v>#REF!</v>
      </c>
      <c r="DB83" t="e">
        <f>AND(#REF!,"AAAAAFzv52k=")</f>
        <v>#REF!</v>
      </c>
      <c r="DC83" t="e">
        <f>AND(#REF!,"AAAAAFzv52o=")</f>
        <v>#REF!</v>
      </c>
      <c r="DD83" t="e">
        <f>AND(#REF!,"AAAAAFzv52s=")</f>
        <v>#REF!</v>
      </c>
      <c r="DE83" t="e">
        <f>AND(#REF!,"AAAAAFzv52w=")</f>
        <v>#REF!</v>
      </c>
      <c r="DF83" t="e">
        <f>AND(#REF!,"AAAAAFzv520=")</f>
        <v>#REF!</v>
      </c>
      <c r="DG83" t="e">
        <f>AND(#REF!,"AAAAAFzv524=")</f>
        <v>#REF!</v>
      </c>
      <c r="DH83" t="e">
        <f>AND(#REF!,"AAAAAFzv528=")</f>
        <v>#REF!</v>
      </c>
      <c r="DI83" t="e">
        <f>AND(#REF!,"AAAAAFzv53A=")</f>
        <v>#REF!</v>
      </c>
      <c r="DJ83" t="e">
        <f>AND(#REF!,"AAAAAFzv53E=")</f>
        <v>#REF!</v>
      </c>
      <c r="DK83" t="e">
        <f>AND(#REF!,"AAAAAFzv53I=")</f>
        <v>#REF!</v>
      </c>
      <c r="DL83" t="e">
        <f>AND(#REF!,"AAAAAFzv53M=")</f>
        <v>#REF!</v>
      </c>
      <c r="DM83" t="e">
        <f>AND(#REF!,"AAAAAFzv53Q=")</f>
        <v>#REF!</v>
      </c>
      <c r="DN83" t="e">
        <f>AND(#REF!,"AAAAAFzv53U=")</f>
        <v>#REF!</v>
      </c>
      <c r="DO83" t="e">
        <f>AND(#REF!,"AAAAAFzv53Y=")</f>
        <v>#REF!</v>
      </c>
      <c r="DP83" t="e">
        <f>AND(#REF!,"AAAAAFzv53c=")</f>
        <v>#REF!</v>
      </c>
      <c r="DQ83" t="e">
        <f>AND(#REF!,"AAAAAFzv53g=")</f>
        <v>#REF!</v>
      </c>
      <c r="DR83" t="e">
        <f>AND(#REF!,"AAAAAFzv53k=")</f>
        <v>#REF!</v>
      </c>
      <c r="DS83" t="e">
        <f>AND(#REF!,"AAAAAFzv53o=")</f>
        <v>#REF!</v>
      </c>
      <c r="DT83" t="e">
        <f>AND(#REF!,"AAAAAFzv53s=")</f>
        <v>#REF!</v>
      </c>
      <c r="DU83" t="e">
        <f>AND(#REF!,"AAAAAFzv53w=")</f>
        <v>#REF!</v>
      </c>
      <c r="DV83" t="e">
        <f>AND(#REF!,"AAAAAFzv530=")</f>
        <v>#REF!</v>
      </c>
      <c r="DW83" t="e">
        <f>AND(#REF!,"AAAAAFzv534=")</f>
        <v>#REF!</v>
      </c>
      <c r="DX83" t="e">
        <f>AND(#REF!,"AAAAAFzv538=")</f>
        <v>#REF!</v>
      </c>
      <c r="DY83" t="e">
        <f>AND(#REF!,"AAAAAFzv54A=")</f>
        <v>#REF!</v>
      </c>
      <c r="DZ83" t="e">
        <f>AND(#REF!,"AAAAAFzv54E=")</f>
        <v>#REF!</v>
      </c>
      <c r="EA83" t="e">
        <f>AND(#REF!,"AAAAAFzv54I=")</f>
        <v>#REF!</v>
      </c>
      <c r="EB83" t="e">
        <f>AND(#REF!,"AAAAAFzv54M=")</f>
        <v>#REF!</v>
      </c>
      <c r="EC83" t="e">
        <f>AND(#REF!,"AAAAAFzv54Q=")</f>
        <v>#REF!</v>
      </c>
      <c r="ED83" t="e">
        <f>AND(#REF!,"AAAAAFzv54U=")</f>
        <v>#REF!</v>
      </c>
      <c r="EE83" t="e">
        <f>AND(#REF!,"AAAAAFzv54Y=")</f>
        <v>#REF!</v>
      </c>
      <c r="EF83" t="e">
        <f>AND(#REF!,"AAAAAFzv54c=")</f>
        <v>#REF!</v>
      </c>
      <c r="EG83" t="e">
        <f>AND(#REF!,"AAAAAFzv54g=")</f>
        <v>#REF!</v>
      </c>
      <c r="EH83" t="e">
        <f>AND(#REF!,"AAAAAFzv54k=")</f>
        <v>#REF!</v>
      </c>
      <c r="EI83" t="e">
        <f>AND(#REF!,"AAAAAFzv54o=")</f>
        <v>#REF!</v>
      </c>
      <c r="EJ83" t="e">
        <f>AND(#REF!,"AAAAAFzv54s=")</f>
        <v>#REF!</v>
      </c>
      <c r="EK83" t="e">
        <f>AND(#REF!,"AAAAAFzv54w=")</f>
        <v>#REF!</v>
      </c>
      <c r="EL83" t="e">
        <f>AND(#REF!,"AAAAAFzv540=")</f>
        <v>#REF!</v>
      </c>
      <c r="EM83" t="e">
        <f>AND(#REF!,"AAAAAFzv544=")</f>
        <v>#REF!</v>
      </c>
      <c r="EN83" t="e">
        <f>IF(#REF!,"AAAAAFzv548=",0)</f>
        <v>#REF!</v>
      </c>
      <c r="EO83" t="e">
        <f>AND(#REF!,"AAAAAFzv55A=")</f>
        <v>#REF!</v>
      </c>
      <c r="EP83" t="e">
        <f>AND(#REF!,"AAAAAFzv55E=")</f>
        <v>#REF!</v>
      </c>
      <c r="EQ83" t="e">
        <f>AND(#REF!,"AAAAAFzv55I=")</f>
        <v>#REF!</v>
      </c>
      <c r="ER83" t="e">
        <f>AND(#REF!,"AAAAAFzv55M=")</f>
        <v>#REF!</v>
      </c>
      <c r="ES83" t="e">
        <f>AND(#REF!,"AAAAAFzv55Q=")</f>
        <v>#REF!</v>
      </c>
      <c r="ET83" t="e">
        <f>AND(#REF!,"AAAAAFzv55U=")</f>
        <v>#REF!</v>
      </c>
      <c r="EU83" t="e">
        <f>AND(#REF!,"AAAAAFzv55Y=")</f>
        <v>#REF!</v>
      </c>
      <c r="EV83" t="e">
        <f>AND(#REF!,"AAAAAFzv55c=")</f>
        <v>#REF!</v>
      </c>
      <c r="EW83" t="e">
        <f>AND(#REF!,"AAAAAFzv55g=")</f>
        <v>#REF!</v>
      </c>
      <c r="EX83" t="e">
        <f>AND(#REF!,"AAAAAFzv55k=")</f>
        <v>#REF!</v>
      </c>
      <c r="EY83" t="e">
        <f>AND(#REF!,"AAAAAFzv55o=")</f>
        <v>#REF!</v>
      </c>
      <c r="EZ83" t="e">
        <f>AND(#REF!,"AAAAAFzv55s=")</f>
        <v>#REF!</v>
      </c>
      <c r="FA83" t="e">
        <f>AND(#REF!,"AAAAAFzv55w=")</f>
        <v>#REF!</v>
      </c>
      <c r="FB83" t="e">
        <f>AND(#REF!,"AAAAAFzv550=")</f>
        <v>#REF!</v>
      </c>
      <c r="FC83" t="e">
        <f>AND(#REF!,"AAAAAFzv554=")</f>
        <v>#REF!</v>
      </c>
      <c r="FD83" t="e">
        <f>AND(#REF!,"AAAAAFzv558=")</f>
        <v>#REF!</v>
      </c>
      <c r="FE83" t="e">
        <f>AND(#REF!,"AAAAAFzv56A=")</f>
        <v>#REF!</v>
      </c>
      <c r="FF83" t="e">
        <f>AND(#REF!,"AAAAAFzv56E=")</f>
        <v>#REF!</v>
      </c>
      <c r="FG83" t="e">
        <f>AND(#REF!,"AAAAAFzv56I=")</f>
        <v>#REF!</v>
      </c>
      <c r="FH83" t="e">
        <f>AND(#REF!,"AAAAAFzv56M=")</f>
        <v>#REF!</v>
      </c>
      <c r="FI83" t="e">
        <f>AND(#REF!,"AAAAAFzv56Q=")</f>
        <v>#REF!</v>
      </c>
      <c r="FJ83" t="e">
        <f>AND(#REF!,"AAAAAFzv56U=")</f>
        <v>#REF!</v>
      </c>
      <c r="FK83" t="e">
        <f>AND(#REF!,"AAAAAFzv56Y=")</f>
        <v>#REF!</v>
      </c>
      <c r="FL83" t="e">
        <f>AND(#REF!,"AAAAAFzv56c=")</f>
        <v>#REF!</v>
      </c>
      <c r="FM83" t="e">
        <f>AND(#REF!,"AAAAAFzv56g=")</f>
        <v>#REF!</v>
      </c>
      <c r="FN83" t="e">
        <f>AND(#REF!,"AAAAAFzv56k=")</f>
        <v>#REF!</v>
      </c>
      <c r="FO83" t="e">
        <f>AND(#REF!,"AAAAAFzv56o=")</f>
        <v>#REF!</v>
      </c>
      <c r="FP83" t="e">
        <f>AND(#REF!,"AAAAAFzv56s=")</f>
        <v>#REF!</v>
      </c>
      <c r="FQ83" t="e">
        <f>AND(#REF!,"AAAAAFzv56w=")</f>
        <v>#REF!</v>
      </c>
      <c r="FR83" t="e">
        <f>AND(#REF!,"AAAAAFzv560=")</f>
        <v>#REF!</v>
      </c>
      <c r="FS83" t="e">
        <f>AND(#REF!,"AAAAAFzv564=")</f>
        <v>#REF!</v>
      </c>
      <c r="FT83" t="e">
        <f>AND(#REF!,"AAAAAFzv568=")</f>
        <v>#REF!</v>
      </c>
      <c r="FU83" t="e">
        <f>AND(#REF!,"AAAAAFzv57A=")</f>
        <v>#REF!</v>
      </c>
      <c r="FV83" t="e">
        <f>AND(#REF!,"AAAAAFzv57E=")</f>
        <v>#REF!</v>
      </c>
      <c r="FW83" t="e">
        <f>AND(#REF!,"AAAAAFzv57I=")</f>
        <v>#REF!</v>
      </c>
      <c r="FX83" t="e">
        <f>AND(#REF!,"AAAAAFzv57M=")</f>
        <v>#REF!</v>
      </c>
      <c r="FY83" t="e">
        <f>AND(#REF!,"AAAAAFzv57Q=")</f>
        <v>#REF!</v>
      </c>
      <c r="FZ83" t="e">
        <f>AND(#REF!,"AAAAAFzv57U=")</f>
        <v>#REF!</v>
      </c>
      <c r="GA83" t="e">
        <f>AND(#REF!,"AAAAAFzv57Y=")</f>
        <v>#REF!</v>
      </c>
      <c r="GB83" t="e">
        <f>AND(#REF!,"AAAAAFzv57c=")</f>
        <v>#REF!</v>
      </c>
      <c r="GC83" t="e">
        <f>AND(#REF!,"AAAAAFzv57g=")</f>
        <v>#REF!</v>
      </c>
      <c r="GD83" t="e">
        <f>IF(#REF!,"AAAAAFzv57k=",0)</f>
        <v>#REF!</v>
      </c>
      <c r="GE83" t="e">
        <f>AND(#REF!,"AAAAAFzv57o=")</f>
        <v>#REF!</v>
      </c>
      <c r="GF83" t="e">
        <f>AND(#REF!,"AAAAAFzv57s=")</f>
        <v>#REF!</v>
      </c>
      <c r="GG83" t="e">
        <f>AND(#REF!,"AAAAAFzv57w=")</f>
        <v>#REF!</v>
      </c>
      <c r="GH83" t="e">
        <f>AND(#REF!,"AAAAAFzv570=")</f>
        <v>#REF!</v>
      </c>
      <c r="GI83" t="e">
        <f>AND(#REF!,"AAAAAFzv574=")</f>
        <v>#REF!</v>
      </c>
      <c r="GJ83" t="e">
        <f>AND(#REF!,"AAAAAFzv578=")</f>
        <v>#REF!</v>
      </c>
      <c r="GK83" t="e">
        <f>AND(#REF!,"AAAAAFzv58A=")</f>
        <v>#REF!</v>
      </c>
      <c r="GL83" t="e">
        <f>AND(#REF!,"AAAAAFzv58E=")</f>
        <v>#REF!</v>
      </c>
      <c r="GM83" t="e">
        <f>AND(#REF!,"AAAAAFzv58I=")</f>
        <v>#REF!</v>
      </c>
      <c r="GN83" t="e">
        <f>AND(#REF!,"AAAAAFzv58M=")</f>
        <v>#REF!</v>
      </c>
      <c r="GO83" t="e">
        <f>AND(#REF!,"AAAAAFzv58Q=")</f>
        <v>#REF!</v>
      </c>
      <c r="GP83" t="e">
        <f>AND(#REF!,"AAAAAFzv58U=")</f>
        <v>#REF!</v>
      </c>
      <c r="GQ83" t="e">
        <f>AND(#REF!,"AAAAAFzv58Y=")</f>
        <v>#REF!</v>
      </c>
      <c r="GR83" t="e">
        <f>AND(#REF!,"AAAAAFzv58c=")</f>
        <v>#REF!</v>
      </c>
      <c r="GS83" t="e">
        <f>AND(#REF!,"AAAAAFzv58g=")</f>
        <v>#REF!</v>
      </c>
      <c r="GT83" t="e">
        <f>AND(#REF!,"AAAAAFzv58k=")</f>
        <v>#REF!</v>
      </c>
      <c r="GU83" t="e">
        <f>AND(#REF!,"AAAAAFzv58o=")</f>
        <v>#REF!</v>
      </c>
      <c r="GV83" t="e">
        <f>AND(#REF!,"AAAAAFzv58s=")</f>
        <v>#REF!</v>
      </c>
      <c r="GW83" t="e">
        <f>AND(#REF!,"AAAAAFzv58w=")</f>
        <v>#REF!</v>
      </c>
      <c r="GX83" t="e">
        <f>AND(#REF!,"AAAAAFzv580=")</f>
        <v>#REF!</v>
      </c>
      <c r="GY83" t="e">
        <f>AND(#REF!,"AAAAAFzv584=")</f>
        <v>#REF!</v>
      </c>
      <c r="GZ83" t="e">
        <f>AND(#REF!,"AAAAAFzv588=")</f>
        <v>#REF!</v>
      </c>
      <c r="HA83" t="e">
        <f>AND(#REF!,"AAAAAFzv59A=")</f>
        <v>#REF!</v>
      </c>
      <c r="HB83" t="e">
        <f>AND(#REF!,"AAAAAFzv59E=")</f>
        <v>#REF!</v>
      </c>
      <c r="HC83" t="e">
        <f>AND(#REF!,"AAAAAFzv59I=")</f>
        <v>#REF!</v>
      </c>
      <c r="HD83" t="e">
        <f>AND(#REF!,"AAAAAFzv59M=")</f>
        <v>#REF!</v>
      </c>
      <c r="HE83" t="e">
        <f>AND(#REF!,"AAAAAFzv59Q=")</f>
        <v>#REF!</v>
      </c>
      <c r="HF83" t="e">
        <f>AND(#REF!,"AAAAAFzv59U=")</f>
        <v>#REF!</v>
      </c>
      <c r="HG83" t="e">
        <f>AND(#REF!,"AAAAAFzv59Y=")</f>
        <v>#REF!</v>
      </c>
      <c r="HH83" t="e">
        <f>AND(#REF!,"AAAAAFzv59c=")</f>
        <v>#REF!</v>
      </c>
      <c r="HI83" t="e">
        <f>AND(#REF!,"AAAAAFzv59g=")</f>
        <v>#REF!</v>
      </c>
      <c r="HJ83" t="e">
        <f>AND(#REF!,"AAAAAFzv59k=")</f>
        <v>#REF!</v>
      </c>
      <c r="HK83" t="e">
        <f>AND(#REF!,"AAAAAFzv59o=")</f>
        <v>#REF!</v>
      </c>
      <c r="HL83" t="e">
        <f>AND(#REF!,"AAAAAFzv59s=")</f>
        <v>#REF!</v>
      </c>
      <c r="HM83" t="e">
        <f>AND(#REF!,"AAAAAFzv59w=")</f>
        <v>#REF!</v>
      </c>
      <c r="HN83" t="e">
        <f>AND(#REF!,"AAAAAFzv590=")</f>
        <v>#REF!</v>
      </c>
      <c r="HO83" t="e">
        <f>AND(#REF!,"AAAAAFzv594=")</f>
        <v>#REF!</v>
      </c>
      <c r="HP83" t="e">
        <f>AND(#REF!,"AAAAAFzv598=")</f>
        <v>#REF!</v>
      </c>
      <c r="HQ83" t="e">
        <f>AND(#REF!,"AAAAAFzv5+A=")</f>
        <v>#REF!</v>
      </c>
      <c r="HR83" t="e">
        <f>AND(#REF!,"AAAAAFzv5+E=")</f>
        <v>#REF!</v>
      </c>
      <c r="HS83" t="e">
        <f>AND(#REF!,"AAAAAFzv5+I=")</f>
        <v>#REF!</v>
      </c>
      <c r="HT83" t="e">
        <f>IF(#REF!,"AAAAAFzv5+M=",0)</f>
        <v>#REF!</v>
      </c>
      <c r="HU83" t="e">
        <f>AND(#REF!,"AAAAAFzv5+Q=")</f>
        <v>#REF!</v>
      </c>
      <c r="HV83" t="e">
        <f>AND(#REF!,"AAAAAFzv5+U=")</f>
        <v>#REF!</v>
      </c>
      <c r="HW83" t="e">
        <f>AND(#REF!,"AAAAAFzv5+Y=")</f>
        <v>#REF!</v>
      </c>
      <c r="HX83" t="e">
        <f>AND(#REF!,"AAAAAFzv5+c=")</f>
        <v>#REF!</v>
      </c>
      <c r="HY83" t="e">
        <f>AND(#REF!,"AAAAAFzv5+g=")</f>
        <v>#REF!</v>
      </c>
      <c r="HZ83" t="e">
        <f>AND(#REF!,"AAAAAFzv5+k=")</f>
        <v>#REF!</v>
      </c>
      <c r="IA83" t="e">
        <f>AND(#REF!,"AAAAAFzv5+o=")</f>
        <v>#REF!</v>
      </c>
      <c r="IB83" t="e">
        <f>AND(#REF!,"AAAAAFzv5+s=")</f>
        <v>#REF!</v>
      </c>
      <c r="IC83" t="e">
        <f>AND(#REF!,"AAAAAFzv5+w=")</f>
        <v>#REF!</v>
      </c>
      <c r="ID83" t="e">
        <f>AND(#REF!,"AAAAAFzv5+0=")</f>
        <v>#REF!</v>
      </c>
      <c r="IE83" t="e">
        <f>AND(#REF!,"AAAAAFzv5+4=")</f>
        <v>#REF!</v>
      </c>
      <c r="IF83" t="e">
        <f>AND(#REF!,"AAAAAFzv5+8=")</f>
        <v>#REF!</v>
      </c>
      <c r="IG83" t="e">
        <f>AND(#REF!,"AAAAAFzv5/A=")</f>
        <v>#REF!</v>
      </c>
      <c r="IH83" t="e">
        <f>AND(#REF!,"AAAAAFzv5/E=")</f>
        <v>#REF!</v>
      </c>
      <c r="II83" t="e">
        <f>AND(#REF!,"AAAAAFzv5/I=")</f>
        <v>#REF!</v>
      </c>
      <c r="IJ83" t="e">
        <f>AND(#REF!,"AAAAAFzv5/M=")</f>
        <v>#REF!</v>
      </c>
      <c r="IK83" t="e">
        <f>AND(#REF!,"AAAAAFzv5/Q=")</f>
        <v>#REF!</v>
      </c>
      <c r="IL83" t="e">
        <f>AND(#REF!,"AAAAAFzv5/U=")</f>
        <v>#REF!</v>
      </c>
      <c r="IM83" t="e">
        <f>AND(#REF!,"AAAAAFzv5/Y=")</f>
        <v>#REF!</v>
      </c>
      <c r="IN83" t="e">
        <f>AND(#REF!,"AAAAAFzv5/c=")</f>
        <v>#REF!</v>
      </c>
      <c r="IO83" t="e">
        <f>AND(#REF!,"AAAAAFzv5/g=")</f>
        <v>#REF!</v>
      </c>
      <c r="IP83" t="e">
        <f>AND(#REF!,"AAAAAFzv5/k=")</f>
        <v>#REF!</v>
      </c>
      <c r="IQ83" t="e">
        <f>AND(#REF!,"AAAAAFzv5/o=")</f>
        <v>#REF!</v>
      </c>
      <c r="IR83" t="e">
        <f>AND(#REF!,"AAAAAFzv5/s=")</f>
        <v>#REF!</v>
      </c>
      <c r="IS83" t="e">
        <f>AND(#REF!,"AAAAAFzv5/w=")</f>
        <v>#REF!</v>
      </c>
      <c r="IT83" t="e">
        <f>AND(#REF!,"AAAAAFzv5/0=")</f>
        <v>#REF!</v>
      </c>
      <c r="IU83" t="e">
        <f>AND(#REF!,"AAAAAFzv5/4=")</f>
        <v>#REF!</v>
      </c>
      <c r="IV83" t="e">
        <f>AND(#REF!,"AAAAAFzv5/8=")</f>
        <v>#REF!</v>
      </c>
    </row>
    <row r="84" spans="1:256">
      <c r="A84" t="e">
        <f>AND(#REF!,"AAAAABx//wA=")</f>
        <v>#REF!</v>
      </c>
      <c r="B84" t="e">
        <f>AND(#REF!,"AAAAABx//wE=")</f>
        <v>#REF!</v>
      </c>
      <c r="C84" t="e">
        <f>AND(#REF!,"AAAAABx//wI=")</f>
        <v>#REF!</v>
      </c>
      <c r="D84" t="e">
        <f>AND(#REF!,"AAAAABx//wM=")</f>
        <v>#REF!</v>
      </c>
      <c r="E84" t="e">
        <f>AND(#REF!,"AAAAABx//wQ=")</f>
        <v>#REF!</v>
      </c>
      <c r="F84" t="e">
        <f>AND(#REF!,"AAAAABx//wU=")</f>
        <v>#REF!</v>
      </c>
      <c r="G84" t="e">
        <f>AND(#REF!,"AAAAABx//wY=")</f>
        <v>#REF!</v>
      </c>
      <c r="H84" t="e">
        <f>AND(#REF!,"AAAAABx//wc=")</f>
        <v>#REF!</v>
      </c>
      <c r="I84" t="e">
        <f>AND(#REF!,"AAAAABx//wg=")</f>
        <v>#REF!</v>
      </c>
      <c r="J84" t="e">
        <f>AND(#REF!,"AAAAABx//wk=")</f>
        <v>#REF!</v>
      </c>
      <c r="K84" t="e">
        <f>AND(#REF!,"AAAAABx//wo=")</f>
        <v>#REF!</v>
      </c>
      <c r="L84" t="e">
        <f>AND(#REF!,"AAAAABx//ws=")</f>
        <v>#REF!</v>
      </c>
      <c r="M84" t="e">
        <f>AND(#REF!,"AAAAABx//ww=")</f>
        <v>#REF!</v>
      </c>
      <c r="N84" t="e">
        <f>IF(#REF!,"AAAAABx//w0=",0)</f>
        <v>#REF!</v>
      </c>
      <c r="O84" t="e">
        <f>AND(#REF!,"AAAAABx//w4=")</f>
        <v>#REF!</v>
      </c>
      <c r="P84" t="e">
        <f>AND(#REF!,"AAAAABx//w8=")</f>
        <v>#REF!</v>
      </c>
      <c r="Q84" t="e">
        <f>AND(#REF!,"AAAAABx//xA=")</f>
        <v>#REF!</v>
      </c>
      <c r="R84" t="e">
        <f>AND(#REF!,"AAAAABx//xE=")</f>
        <v>#REF!</v>
      </c>
      <c r="S84" t="e">
        <f>AND(#REF!,"AAAAABx//xI=")</f>
        <v>#REF!</v>
      </c>
      <c r="T84" t="e">
        <f>AND(#REF!,"AAAAABx//xM=")</f>
        <v>#REF!</v>
      </c>
      <c r="U84" t="e">
        <f>AND(#REF!,"AAAAABx//xQ=")</f>
        <v>#REF!</v>
      </c>
      <c r="V84" t="e">
        <f>AND(#REF!,"AAAAABx//xU=")</f>
        <v>#REF!</v>
      </c>
      <c r="W84" t="e">
        <f>AND(#REF!,"AAAAABx//xY=")</f>
        <v>#REF!</v>
      </c>
      <c r="X84" t="e">
        <f>AND(#REF!,"AAAAABx//xc=")</f>
        <v>#REF!</v>
      </c>
      <c r="Y84" t="e">
        <f>AND(#REF!,"AAAAABx//xg=")</f>
        <v>#REF!</v>
      </c>
      <c r="Z84" t="e">
        <f>AND(#REF!,"AAAAABx//xk=")</f>
        <v>#REF!</v>
      </c>
      <c r="AA84" t="e">
        <f>AND(#REF!,"AAAAABx//xo=")</f>
        <v>#REF!</v>
      </c>
      <c r="AB84" t="e">
        <f>AND(#REF!,"AAAAABx//xs=")</f>
        <v>#REF!</v>
      </c>
      <c r="AC84" t="e">
        <f>AND(#REF!,"AAAAABx//xw=")</f>
        <v>#REF!</v>
      </c>
      <c r="AD84" t="e">
        <f>AND(#REF!,"AAAAABx//x0=")</f>
        <v>#REF!</v>
      </c>
      <c r="AE84" t="e">
        <f>AND(#REF!,"AAAAABx//x4=")</f>
        <v>#REF!</v>
      </c>
      <c r="AF84" t="e">
        <f>AND(#REF!,"AAAAABx//x8=")</f>
        <v>#REF!</v>
      </c>
      <c r="AG84" t="e">
        <f>AND(#REF!,"AAAAABx//yA=")</f>
        <v>#REF!</v>
      </c>
      <c r="AH84" t="e">
        <f>AND(#REF!,"AAAAABx//yE=")</f>
        <v>#REF!</v>
      </c>
      <c r="AI84" t="e">
        <f>AND(#REF!,"AAAAABx//yI=")</f>
        <v>#REF!</v>
      </c>
      <c r="AJ84" t="e">
        <f>AND(#REF!,"AAAAABx//yM=")</f>
        <v>#REF!</v>
      </c>
      <c r="AK84" t="e">
        <f>AND(#REF!,"AAAAABx//yQ=")</f>
        <v>#REF!</v>
      </c>
      <c r="AL84" t="e">
        <f>AND(#REF!,"AAAAABx//yU=")</f>
        <v>#REF!</v>
      </c>
      <c r="AM84" t="e">
        <f>AND(#REF!,"AAAAABx//yY=")</f>
        <v>#REF!</v>
      </c>
      <c r="AN84" t="e">
        <f>AND(#REF!,"AAAAABx//yc=")</f>
        <v>#REF!</v>
      </c>
      <c r="AO84" t="e">
        <f>AND(#REF!,"AAAAABx//yg=")</f>
        <v>#REF!</v>
      </c>
      <c r="AP84" t="e">
        <f>AND(#REF!,"AAAAABx//yk=")</f>
        <v>#REF!</v>
      </c>
      <c r="AQ84" t="e">
        <f>AND(#REF!,"AAAAABx//yo=")</f>
        <v>#REF!</v>
      </c>
      <c r="AR84" t="e">
        <f>AND(#REF!,"AAAAABx//ys=")</f>
        <v>#REF!</v>
      </c>
      <c r="AS84" t="e">
        <f>AND(#REF!,"AAAAABx//yw=")</f>
        <v>#REF!</v>
      </c>
      <c r="AT84" t="e">
        <f>AND(#REF!,"AAAAABx//y0=")</f>
        <v>#REF!</v>
      </c>
      <c r="AU84" t="e">
        <f>AND(#REF!,"AAAAABx//y4=")</f>
        <v>#REF!</v>
      </c>
      <c r="AV84" t="e">
        <f>AND(#REF!,"AAAAABx//y8=")</f>
        <v>#REF!</v>
      </c>
      <c r="AW84" t="e">
        <f>AND(#REF!,"AAAAABx//zA=")</f>
        <v>#REF!</v>
      </c>
      <c r="AX84" t="e">
        <f>AND(#REF!,"AAAAABx//zE=")</f>
        <v>#REF!</v>
      </c>
      <c r="AY84" t="e">
        <f>AND(#REF!,"AAAAABx//zI=")</f>
        <v>#REF!</v>
      </c>
      <c r="AZ84" t="e">
        <f>AND(#REF!,"AAAAABx//zM=")</f>
        <v>#REF!</v>
      </c>
      <c r="BA84" t="e">
        <f>AND(#REF!,"AAAAABx//zQ=")</f>
        <v>#REF!</v>
      </c>
      <c r="BB84" t="e">
        <f>AND(#REF!,"AAAAABx//zU=")</f>
        <v>#REF!</v>
      </c>
      <c r="BC84" t="e">
        <f>AND(#REF!,"AAAAABx//zY=")</f>
        <v>#REF!</v>
      </c>
      <c r="BD84" t="e">
        <f>IF(#REF!,"AAAAABx//zc=",0)</f>
        <v>#REF!</v>
      </c>
      <c r="BE84" t="e">
        <f>AND(#REF!,"AAAAABx//zg=")</f>
        <v>#REF!</v>
      </c>
      <c r="BF84" t="e">
        <f>AND(#REF!,"AAAAABx//zk=")</f>
        <v>#REF!</v>
      </c>
      <c r="BG84" t="e">
        <f>AND(#REF!,"AAAAABx//zo=")</f>
        <v>#REF!</v>
      </c>
      <c r="BH84" t="e">
        <f>AND(#REF!,"AAAAABx//zs=")</f>
        <v>#REF!</v>
      </c>
      <c r="BI84" t="e">
        <f>AND(#REF!,"AAAAABx//zw=")</f>
        <v>#REF!</v>
      </c>
      <c r="BJ84" t="e">
        <f>AND(#REF!,"AAAAABx//z0=")</f>
        <v>#REF!</v>
      </c>
      <c r="BK84" t="e">
        <f>AND(#REF!,"AAAAABx//z4=")</f>
        <v>#REF!</v>
      </c>
      <c r="BL84" t="e">
        <f>AND(#REF!,"AAAAABx//z8=")</f>
        <v>#REF!</v>
      </c>
      <c r="BM84" t="e">
        <f>AND(#REF!,"AAAAABx//0A=")</f>
        <v>#REF!</v>
      </c>
      <c r="BN84" t="e">
        <f>AND(#REF!,"AAAAABx//0E=")</f>
        <v>#REF!</v>
      </c>
      <c r="BO84" t="e">
        <f>AND(#REF!,"AAAAABx//0I=")</f>
        <v>#REF!</v>
      </c>
      <c r="BP84" t="e">
        <f>AND(#REF!,"AAAAABx//0M=")</f>
        <v>#REF!</v>
      </c>
      <c r="BQ84" t="e">
        <f>AND(#REF!,"AAAAABx//0Q=")</f>
        <v>#REF!</v>
      </c>
      <c r="BR84" t="e">
        <f>AND(#REF!,"AAAAABx//0U=")</f>
        <v>#REF!</v>
      </c>
      <c r="BS84" t="e">
        <f>AND(#REF!,"AAAAABx//0Y=")</f>
        <v>#REF!</v>
      </c>
      <c r="BT84" t="e">
        <f>AND(#REF!,"AAAAABx//0c=")</f>
        <v>#REF!</v>
      </c>
      <c r="BU84" t="e">
        <f>AND(#REF!,"AAAAABx//0g=")</f>
        <v>#REF!</v>
      </c>
      <c r="BV84" t="e">
        <f>AND(#REF!,"AAAAABx//0k=")</f>
        <v>#REF!</v>
      </c>
      <c r="BW84" t="e">
        <f>AND(#REF!,"AAAAABx//0o=")</f>
        <v>#REF!</v>
      </c>
      <c r="BX84" t="e">
        <f>AND(#REF!,"AAAAABx//0s=")</f>
        <v>#REF!</v>
      </c>
      <c r="BY84" t="e">
        <f>AND(#REF!,"AAAAABx//0w=")</f>
        <v>#REF!</v>
      </c>
      <c r="BZ84" t="e">
        <f>AND(#REF!,"AAAAABx//00=")</f>
        <v>#REF!</v>
      </c>
      <c r="CA84" t="e">
        <f>AND(#REF!,"AAAAABx//04=")</f>
        <v>#REF!</v>
      </c>
      <c r="CB84" t="e">
        <f>AND(#REF!,"AAAAABx//08=")</f>
        <v>#REF!</v>
      </c>
      <c r="CC84" t="e">
        <f>AND(#REF!,"AAAAABx//1A=")</f>
        <v>#REF!</v>
      </c>
      <c r="CD84" t="e">
        <f>AND(#REF!,"AAAAABx//1E=")</f>
        <v>#REF!</v>
      </c>
      <c r="CE84" t="e">
        <f>AND(#REF!,"AAAAABx//1I=")</f>
        <v>#REF!</v>
      </c>
      <c r="CF84" t="e">
        <f>AND(#REF!,"AAAAABx//1M=")</f>
        <v>#REF!</v>
      </c>
      <c r="CG84" t="e">
        <f>AND(#REF!,"AAAAABx//1Q=")</f>
        <v>#REF!</v>
      </c>
      <c r="CH84" t="e">
        <f>AND(#REF!,"AAAAABx//1U=")</f>
        <v>#REF!</v>
      </c>
      <c r="CI84" t="e">
        <f>AND(#REF!,"AAAAABx//1Y=")</f>
        <v>#REF!</v>
      </c>
      <c r="CJ84" t="e">
        <f>AND(#REF!,"AAAAABx//1c=")</f>
        <v>#REF!</v>
      </c>
      <c r="CK84" t="e">
        <f>AND(#REF!,"AAAAABx//1g=")</f>
        <v>#REF!</v>
      </c>
      <c r="CL84" t="e">
        <f>AND(#REF!,"AAAAABx//1k=")</f>
        <v>#REF!</v>
      </c>
      <c r="CM84" t="e">
        <f>AND(#REF!,"AAAAABx//1o=")</f>
        <v>#REF!</v>
      </c>
      <c r="CN84" t="e">
        <f>AND(#REF!,"AAAAABx//1s=")</f>
        <v>#REF!</v>
      </c>
      <c r="CO84" t="e">
        <f>AND(#REF!,"AAAAABx//1w=")</f>
        <v>#REF!</v>
      </c>
      <c r="CP84" t="e">
        <f>AND(#REF!,"AAAAABx//10=")</f>
        <v>#REF!</v>
      </c>
      <c r="CQ84" t="e">
        <f>AND(#REF!,"AAAAABx//14=")</f>
        <v>#REF!</v>
      </c>
      <c r="CR84" t="e">
        <f>AND(#REF!,"AAAAABx//18=")</f>
        <v>#REF!</v>
      </c>
      <c r="CS84" t="e">
        <f>AND(#REF!,"AAAAABx//2A=")</f>
        <v>#REF!</v>
      </c>
      <c r="CT84" t="e">
        <f>IF(#REF!,"AAAAABx//2E=",0)</f>
        <v>#REF!</v>
      </c>
      <c r="CU84" t="e">
        <f>AND(#REF!,"AAAAABx//2I=")</f>
        <v>#REF!</v>
      </c>
      <c r="CV84" t="e">
        <f>AND(#REF!,"AAAAABx//2M=")</f>
        <v>#REF!</v>
      </c>
      <c r="CW84" t="e">
        <f>AND(#REF!,"AAAAABx//2Q=")</f>
        <v>#REF!</v>
      </c>
      <c r="CX84" t="e">
        <f>AND(#REF!,"AAAAABx//2U=")</f>
        <v>#REF!</v>
      </c>
      <c r="CY84" t="e">
        <f>AND(#REF!,"AAAAABx//2Y=")</f>
        <v>#REF!</v>
      </c>
      <c r="CZ84" t="e">
        <f>AND(#REF!,"AAAAABx//2c=")</f>
        <v>#REF!</v>
      </c>
      <c r="DA84" t="e">
        <f>AND(#REF!,"AAAAABx//2g=")</f>
        <v>#REF!</v>
      </c>
      <c r="DB84" t="e">
        <f>AND(#REF!,"AAAAABx//2k=")</f>
        <v>#REF!</v>
      </c>
      <c r="DC84" t="e">
        <f>AND(#REF!,"AAAAABx//2o=")</f>
        <v>#REF!</v>
      </c>
      <c r="DD84" t="e">
        <f>AND(#REF!,"AAAAABx//2s=")</f>
        <v>#REF!</v>
      </c>
      <c r="DE84" t="e">
        <f>AND(#REF!,"AAAAABx//2w=")</f>
        <v>#REF!</v>
      </c>
      <c r="DF84" t="e">
        <f>AND(#REF!,"AAAAABx//20=")</f>
        <v>#REF!</v>
      </c>
      <c r="DG84" t="e">
        <f>AND(#REF!,"AAAAABx//24=")</f>
        <v>#REF!</v>
      </c>
      <c r="DH84" t="e">
        <f>AND(#REF!,"AAAAABx//28=")</f>
        <v>#REF!</v>
      </c>
      <c r="DI84" t="e">
        <f>AND(#REF!,"AAAAABx//3A=")</f>
        <v>#REF!</v>
      </c>
      <c r="DJ84" t="e">
        <f>AND(#REF!,"AAAAABx//3E=")</f>
        <v>#REF!</v>
      </c>
      <c r="DK84" t="e">
        <f>AND(#REF!,"AAAAABx//3I=")</f>
        <v>#REF!</v>
      </c>
      <c r="DL84" t="e">
        <f>AND(#REF!,"AAAAABx//3M=")</f>
        <v>#REF!</v>
      </c>
      <c r="DM84" t="e">
        <f>AND(#REF!,"AAAAABx//3Q=")</f>
        <v>#REF!</v>
      </c>
      <c r="DN84" t="e">
        <f>AND(#REF!,"AAAAABx//3U=")</f>
        <v>#REF!</v>
      </c>
      <c r="DO84" t="e">
        <f>AND(#REF!,"AAAAABx//3Y=")</f>
        <v>#REF!</v>
      </c>
      <c r="DP84" t="e">
        <f>AND(#REF!,"AAAAABx//3c=")</f>
        <v>#REF!</v>
      </c>
      <c r="DQ84" t="e">
        <f>AND(#REF!,"AAAAABx//3g=")</f>
        <v>#REF!</v>
      </c>
      <c r="DR84" t="e">
        <f>AND(#REF!,"AAAAABx//3k=")</f>
        <v>#REF!</v>
      </c>
      <c r="DS84" t="e">
        <f>AND(#REF!,"AAAAABx//3o=")</f>
        <v>#REF!</v>
      </c>
      <c r="DT84" t="e">
        <f>AND(#REF!,"AAAAABx//3s=")</f>
        <v>#REF!</v>
      </c>
      <c r="DU84" t="e">
        <f>AND(#REF!,"AAAAABx//3w=")</f>
        <v>#REF!</v>
      </c>
      <c r="DV84" t="e">
        <f>AND(#REF!,"AAAAABx//30=")</f>
        <v>#REF!</v>
      </c>
      <c r="DW84" t="e">
        <f>AND(#REF!,"AAAAABx//34=")</f>
        <v>#REF!</v>
      </c>
      <c r="DX84" t="e">
        <f>AND(#REF!,"AAAAABx//38=")</f>
        <v>#REF!</v>
      </c>
      <c r="DY84" t="e">
        <f>AND(#REF!,"AAAAABx//4A=")</f>
        <v>#REF!</v>
      </c>
      <c r="DZ84" t="e">
        <f>AND(#REF!,"AAAAABx//4E=")</f>
        <v>#REF!</v>
      </c>
      <c r="EA84" t="e">
        <f>AND(#REF!,"AAAAABx//4I=")</f>
        <v>#REF!</v>
      </c>
      <c r="EB84" t="e">
        <f>AND(#REF!,"AAAAABx//4M=")</f>
        <v>#REF!</v>
      </c>
      <c r="EC84" t="e">
        <f>AND(#REF!,"AAAAABx//4Q=")</f>
        <v>#REF!</v>
      </c>
      <c r="ED84" t="e">
        <f>AND(#REF!,"AAAAABx//4U=")</f>
        <v>#REF!</v>
      </c>
      <c r="EE84" t="e">
        <f>AND(#REF!,"AAAAABx//4Y=")</f>
        <v>#REF!</v>
      </c>
      <c r="EF84" t="e">
        <f>AND(#REF!,"AAAAABx//4c=")</f>
        <v>#REF!</v>
      </c>
      <c r="EG84" t="e">
        <f>AND(#REF!,"AAAAABx//4g=")</f>
        <v>#REF!</v>
      </c>
      <c r="EH84" t="e">
        <f>AND(#REF!,"AAAAABx//4k=")</f>
        <v>#REF!</v>
      </c>
      <c r="EI84" t="e">
        <f>AND(#REF!,"AAAAABx//4o=")</f>
        <v>#REF!</v>
      </c>
      <c r="EJ84" t="e">
        <f>IF(#REF!,"AAAAABx//4s=",0)</f>
        <v>#REF!</v>
      </c>
      <c r="EK84" t="e">
        <f>AND(#REF!,"AAAAABx//4w=")</f>
        <v>#REF!</v>
      </c>
      <c r="EL84" t="e">
        <f>AND(#REF!,"AAAAABx//40=")</f>
        <v>#REF!</v>
      </c>
      <c r="EM84" t="e">
        <f>AND(#REF!,"AAAAABx//44=")</f>
        <v>#REF!</v>
      </c>
      <c r="EN84" t="e">
        <f>AND(#REF!,"AAAAABx//48=")</f>
        <v>#REF!</v>
      </c>
      <c r="EO84" t="e">
        <f>AND(#REF!,"AAAAABx//5A=")</f>
        <v>#REF!</v>
      </c>
      <c r="EP84" t="e">
        <f>AND(#REF!,"AAAAABx//5E=")</f>
        <v>#REF!</v>
      </c>
      <c r="EQ84" t="e">
        <f>AND(#REF!,"AAAAABx//5I=")</f>
        <v>#REF!</v>
      </c>
      <c r="ER84" t="e">
        <f>AND(#REF!,"AAAAABx//5M=")</f>
        <v>#REF!</v>
      </c>
      <c r="ES84" t="e">
        <f>AND(#REF!,"AAAAABx//5Q=")</f>
        <v>#REF!</v>
      </c>
      <c r="ET84" t="e">
        <f>AND(#REF!,"AAAAABx//5U=")</f>
        <v>#REF!</v>
      </c>
      <c r="EU84" t="e">
        <f>AND(#REF!,"AAAAABx//5Y=")</f>
        <v>#REF!</v>
      </c>
      <c r="EV84" t="e">
        <f>AND(#REF!,"AAAAABx//5c=")</f>
        <v>#REF!</v>
      </c>
      <c r="EW84" t="e">
        <f>AND(#REF!,"AAAAABx//5g=")</f>
        <v>#REF!</v>
      </c>
      <c r="EX84" t="e">
        <f>AND(#REF!,"AAAAABx//5k=")</f>
        <v>#REF!</v>
      </c>
      <c r="EY84" t="e">
        <f>AND(#REF!,"AAAAABx//5o=")</f>
        <v>#REF!</v>
      </c>
      <c r="EZ84" t="e">
        <f>AND(#REF!,"AAAAABx//5s=")</f>
        <v>#REF!</v>
      </c>
      <c r="FA84" t="e">
        <f>AND(#REF!,"AAAAABx//5w=")</f>
        <v>#REF!</v>
      </c>
      <c r="FB84" t="e">
        <f>AND(#REF!,"AAAAABx//50=")</f>
        <v>#REF!</v>
      </c>
      <c r="FC84" t="e">
        <f>AND(#REF!,"AAAAABx//54=")</f>
        <v>#REF!</v>
      </c>
      <c r="FD84" t="e">
        <f>AND(#REF!,"AAAAABx//58=")</f>
        <v>#REF!</v>
      </c>
      <c r="FE84" t="e">
        <f>AND(#REF!,"AAAAABx//6A=")</f>
        <v>#REF!</v>
      </c>
      <c r="FF84" t="e">
        <f>AND(#REF!,"AAAAABx//6E=")</f>
        <v>#REF!</v>
      </c>
      <c r="FG84" t="e">
        <f>AND(#REF!,"AAAAABx//6I=")</f>
        <v>#REF!</v>
      </c>
      <c r="FH84" t="e">
        <f>AND(#REF!,"AAAAABx//6M=")</f>
        <v>#REF!</v>
      </c>
      <c r="FI84" t="e">
        <f>AND(#REF!,"AAAAABx//6Q=")</f>
        <v>#REF!</v>
      </c>
      <c r="FJ84" t="e">
        <f>AND(#REF!,"AAAAABx//6U=")</f>
        <v>#REF!</v>
      </c>
      <c r="FK84" t="e">
        <f>AND(#REF!,"AAAAABx//6Y=")</f>
        <v>#REF!</v>
      </c>
      <c r="FL84" t="e">
        <f>AND(#REF!,"AAAAABx//6c=")</f>
        <v>#REF!</v>
      </c>
      <c r="FM84" t="e">
        <f>AND(#REF!,"AAAAABx//6g=")</f>
        <v>#REF!</v>
      </c>
      <c r="FN84" t="e">
        <f>AND(#REF!,"AAAAABx//6k=")</f>
        <v>#REF!</v>
      </c>
      <c r="FO84" t="e">
        <f>AND(#REF!,"AAAAABx//6o=")</f>
        <v>#REF!</v>
      </c>
      <c r="FP84" t="e">
        <f>AND(#REF!,"AAAAABx//6s=")</f>
        <v>#REF!</v>
      </c>
      <c r="FQ84" t="e">
        <f>AND(#REF!,"AAAAABx//6w=")</f>
        <v>#REF!</v>
      </c>
      <c r="FR84" t="e">
        <f>AND(#REF!,"AAAAABx//60=")</f>
        <v>#REF!</v>
      </c>
      <c r="FS84" t="e">
        <f>AND(#REF!,"AAAAABx//64=")</f>
        <v>#REF!</v>
      </c>
      <c r="FT84" t="e">
        <f>AND(#REF!,"AAAAABx//68=")</f>
        <v>#REF!</v>
      </c>
      <c r="FU84" t="e">
        <f>AND(#REF!,"AAAAABx//7A=")</f>
        <v>#REF!</v>
      </c>
      <c r="FV84" t="e">
        <f>AND(#REF!,"AAAAABx//7E=")</f>
        <v>#REF!</v>
      </c>
      <c r="FW84" t="e">
        <f>AND(#REF!,"AAAAABx//7I=")</f>
        <v>#REF!</v>
      </c>
      <c r="FX84" t="e">
        <f>AND(#REF!,"AAAAABx//7M=")</f>
        <v>#REF!</v>
      </c>
      <c r="FY84" t="e">
        <f>AND(#REF!,"AAAAABx//7Q=")</f>
        <v>#REF!</v>
      </c>
      <c r="FZ84" t="e">
        <f>IF(#REF!,"AAAAABx//7U=",0)</f>
        <v>#REF!</v>
      </c>
      <c r="GA84" t="e">
        <f>AND(#REF!,"AAAAABx//7Y=")</f>
        <v>#REF!</v>
      </c>
      <c r="GB84" t="e">
        <f>AND(#REF!,"AAAAABx//7c=")</f>
        <v>#REF!</v>
      </c>
      <c r="GC84" t="e">
        <f>AND(#REF!,"AAAAABx//7g=")</f>
        <v>#REF!</v>
      </c>
      <c r="GD84" t="e">
        <f>AND(#REF!,"AAAAABx//7k=")</f>
        <v>#REF!</v>
      </c>
      <c r="GE84" t="e">
        <f>AND(#REF!,"AAAAABx//7o=")</f>
        <v>#REF!</v>
      </c>
      <c r="GF84" t="e">
        <f>AND(#REF!,"AAAAABx//7s=")</f>
        <v>#REF!</v>
      </c>
      <c r="GG84" t="e">
        <f>AND(#REF!,"AAAAABx//7w=")</f>
        <v>#REF!</v>
      </c>
      <c r="GH84" t="e">
        <f>AND(#REF!,"AAAAABx//70=")</f>
        <v>#REF!</v>
      </c>
      <c r="GI84" t="e">
        <f>AND(#REF!,"AAAAABx//74=")</f>
        <v>#REF!</v>
      </c>
      <c r="GJ84" t="e">
        <f>AND(#REF!,"AAAAABx//78=")</f>
        <v>#REF!</v>
      </c>
      <c r="GK84" t="e">
        <f>AND(#REF!,"AAAAABx//8A=")</f>
        <v>#REF!</v>
      </c>
      <c r="GL84" t="e">
        <f>AND(#REF!,"AAAAABx//8E=")</f>
        <v>#REF!</v>
      </c>
      <c r="GM84" t="e">
        <f>AND(#REF!,"AAAAABx//8I=")</f>
        <v>#REF!</v>
      </c>
      <c r="GN84" t="e">
        <f>AND(#REF!,"AAAAABx//8M=")</f>
        <v>#REF!</v>
      </c>
      <c r="GO84" t="e">
        <f>AND(#REF!,"AAAAABx//8Q=")</f>
        <v>#REF!</v>
      </c>
      <c r="GP84" t="e">
        <f>AND(#REF!,"AAAAABx//8U=")</f>
        <v>#REF!</v>
      </c>
      <c r="GQ84" t="e">
        <f>AND(#REF!,"AAAAABx//8Y=")</f>
        <v>#REF!</v>
      </c>
      <c r="GR84" t="e">
        <f>AND(#REF!,"AAAAABx//8c=")</f>
        <v>#REF!</v>
      </c>
      <c r="GS84" t="e">
        <f>AND(#REF!,"AAAAABx//8g=")</f>
        <v>#REF!</v>
      </c>
      <c r="GT84" t="e">
        <f>AND(#REF!,"AAAAABx//8k=")</f>
        <v>#REF!</v>
      </c>
      <c r="GU84" t="e">
        <f>AND(#REF!,"AAAAABx//8o=")</f>
        <v>#REF!</v>
      </c>
      <c r="GV84" t="e">
        <f>AND(#REF!,"AAAAABx//8s=")</f>
        <v>#REF!</v>
      </c>
      <c r="GW84" t="e">
        <f>AND(#REF!,"AAAAABx//8w=")</f>
        <v>#REF!</v>
      </c>
      <c r="GX84" t="e">
        <f>AND(#REF!,"AAAAABx//80=")</f>
        <v>#REF!</v>
      </c>
      <c r="GY84" t="e">
        <f>AND(#REF!,"AAAAABx//84=")</f>
        <v>#REF!</v>
      </c>
      <c r="GZ84" t="e">
        <f>AND(#REF!,"AAAAABx//88=")</f>
        <v>#REF!</v>
      </c>
      <c r="HA84" t="e">
        <f>AND(#REF!,"AAAAABx//9A=")</f>
        <v>#REF!</v>
      </c>
      <c r="HB84" t="e">
        <f>AND(#REF!,"AAAAABx//9E=")</f>
        <v>#REF!</v>
      </c>
      <c r="HC84" t="e">
        <f>AND(#REF!,"AAAAABx//9I=")</f>
        <v>#REF!</v>
      </c>
      <c r="HD84" t="e">
        <f>AND(#REF!,"AAAAABx//9M=")</f>
        <v>#REF!</v>
      </c>
      <c r="HE84" t="e">
        <f>AND(#REF!,"AAAAABx//9Q=")</f>
        <v>#REF!</v>
      </c>
      <c r="HF84" t="e">
        <f>AND(#REF!,"AAAAABx//9U=")</f>
        <v>#REF!</v>
      </c>
      <c r="HG84" t="e">
        <f>AND(#REF!,"AAAAABx//9Y=")</f>
        <v>#REF!</v>
      </c>
      <c r="HH84" t="e">
        <f>AND(#REF!,"AAAAABx//9c=")</f>
        <v>#REF!</v>
      </c>
      <c r="HI84" t="e">
        <f>AND(#REF!,"AAAAABx//9g=")</f>
        <v>#REF!</v>
      </c>
      <c r="HJ84" t="e">
        <f>AND(#REF!,"AAAAABx//9k=")</f>
        <v>#REF!</v>
      </c>
      <c r="HK84" t="e">
        <f>AND(#REF!,"AAAAABx//9o=")</f>
        <v>#REF!</v>
      </c>
      <c r="HL84" t="e">
        <f>AND(#REF!,"AAAAABx//9s=")</f>
        <v>#REF!</v>
      </c>
      <c r="HM84" t="e">
        <f>AND(#REF!,"AAAAABx//9w=")</f>
        <v>#REF!</v>
      </c>
      <c r="HN84" t="e">
        <f>AND(#REF!,"AAAAABx//90=")</f>
        <v>#REF!</v>
      </c>
      <c r="HO84" t="e">
        <f>AND(#REF!,"AAAAABx//94=")</f>
        <v>#REF!</v>
      </c>
      <c r="HP84" t="e">
        <f>IF(#REF!,"AAAAABx//98=",0)</f>
        <v>#REF!</v>
      </c>
      <c r="HQ84" t="e">
        <f>AND(#REF!,"AAAAABx//+A=")</f>
        <v>#REF!</v>
      </c>
      <c r="HR84" t="e">
        <f>AND(#REF!,"AAAAABx//+E=")</f>
        <v>#REF!</v>
      </c>
      <c r="HS84" t="e">
        <f>AND(#REF!,"AAAAABx//+I=")</f>
        <v>#REF!</v>
      </c>
      <c r="HT84" t="e">
        <f>AND(#REF!,"AAAAABx//+M=")</f>
        <v>#REF!</v>
      </c>
      <c r="HU84" t="e">
        <f>AND(#REF!,"AAAAABx//+Q=")</f>
        <v>#REF!</v>
      </c>
      <c r="HV84" t="e">
        <f>AND(#REF!,"AAAAABx//+U=")</f>
        <v>#REF!</v>
      </c>
      <c r="HW84" t="e">
        <f>AND(#REF!,"AAAAABx//+Y=")</f>
        <v>#REF!</v>
      </c>
      <c r="HX84" t="e">
        <f>AND(#REF!,"AAAAABx//+c=")</f>
        <v>#REF!</v>
      </c>
      <c r="HY84" t="e">
        <f>AND(#REF!,"AAAAABx//+g=")</f>
        <v>#REF!</v>
      </c>
      <c r="HZ84" t="e">
        <f>AND(#REF!,"AAAAABx//+k=")</f>
        <v>#REF!</v>
      </c>
      <c r="IA84" t="e">
        <f>AND(#REF!,"AAAAABx//+o=")</f>
        <v>#REF!</v>
      </c>
      <c r="IB84" t="e">
        <f>AND(#REF!,"AAAAABx//+s=")</f>
        <v>#REF!</v>
      </c>
      <c r="IC84" t="e">
        <f>AND(#REF!,"AAAAABx//+w=")</f>
        <v>#REF!</v>
      </c>
      <c r="ID84" t="e">
        <f>AND(#REF!,"AAAAABx//+0=")</f>
        <v>#REF!</v>
      </c>
      <c r="IE84" t="e">
        <f>AND(#REF!,"AAAAABx//+4=")</f>
        <v>#REF!</v>
      </c>
      <c r="IF84" t="e">
        <f>AND(#REF!,"AAAAABx//+8=")</f>
        <v>#REF!</v>
      </c>
      <c r="IG84" t="e">
        <f>AND(#REF!,"AAAAABx///A=")</f>
        <v>#REF!</v>
      </c>
      <c r="IH84" t="e">
        <f>AND(#REF!,"AAAAABx///E=")</f>
        <v>#REF!</v>
      </c>
      <c r="II84" t="e">
        <f>AND(#REF!,"AAAAABx///I=")</f>
        <v>#REF!</v>
      </c>
      <c r="IJ84" t="e">
        <f>AND(#REF!,"AAAAABx///M=")</f>
        <v>#REF!</v>
      </c>
      <c r="IK84" t="e">
        <f>AND(#REF!,"AAAAABx///Q=")</f>
        <v>#REF!</v>
      </c>
      <c r="IL84" t="e">
        <f>AND(#REF!,"AAAAABx///U=")</f>
        <v>#REF!</v>
      </c>
      <c r="IM84" t="e">
        <f>AND(#REF!,"AAAAABx///Y=")</f>
        <v>#REF!</v>
      </c>
      <c r="IN84" t="e">
        <f>AND(#REF!,"AAAAABx///c=")</f>
        <v>#REF!</v>
      </c>
      <c r="IO84" t="e">
        <f>AND(#REF!,"AAAAABx///g=")</f>
        <v>#REF!</v>
      </c>
      <c r="IP84" t="e">
        <f>AND(#REF!,"AAAAABx///k=")</f>
        <v>#REF!</v>
      </c>
      <c r="IQ84" t="e">
        <f>AND(#REF!,"AAAAABx///o=")</f>
        <v>#REF!</v>
      </c>
      <c r="IR84" t="e">
        <f>AND(#REF!,"AAAAABx///s=")</f>
        <v>#REF!</v>
      </c>
      <c r="IS84" t="e">
        <f>AND(#REF!,"AAAAABx///w=")</f>
        <v>#REF!</v>
      </c>
      <c r="IT84" t="e">
        <f>AND(#REF!,"AAAAABx///0=")</f>
        <v>#REF!</v>
      </c>
      <c r="IU84" t="e">
        <f>AND(#REF!,"AAAAABx///4=")</f>
        <v>#REF!</v>
      </c>
      <c r="IV84" t="e">
        <f>AND(#REF!,"AAAAABx///8=")</f>
        <v>#REF!</v>
      </c>
    </row>
    <row r="85" spans="1:256">
      <c r="A85" t="e">
        <f>AND(#REF!,"AAAAACf9ewA=")</f>
        <v>#REF!</v>
      </c>
      <c r="B85" t="e">
        <f>AND(#REF!,"AAAAACf9ewE=")</f>
        <v>#REF!</v>
      </c>
      <c r="C85" t="e">
        <f>AND(#REF!,"AAAAACf9ewI=")</f>
        <v>#REF!</v>
      </c>
      <c r="D85" t="e">
        <f>AND(#REF!,"AAAAACf9ewM=")</f>
        <v>#REF!</v>
      </c>
      <c r="E85" t="e">
        <f>AND(#REF!,"AAAAACf9ewQ=")</f>
        <v>#REF!</v>
      </c>
      <c r="F85" t="e">
        <f>AND(#REF!,"AAAAACf9ewU=")</f>
        <v>#REF!</v>
      </c>
      <c r="G85" t="e">
        <f>AND(#REF!,"AAAAACf9ewY=")</f>
        <v>#REF!</v>
      </c>
      <c r="H85" t="e">
        <f>AND(#REF!,"AAAAACf9ewc=")</f>
        <v>#REF!</v>
      </c>
      <c r="I85" t="e">
        <f>AND(#REF!,"AAAAACf9ewg=")</f>
        <v>#REF!</v>
      </c>
      <c r="J85" t="e">
        <f>IF(#REF!,"AAAAACf9ewk=",0)</f>
        <v>#REF!</v>
      </c>
      <c r="K85" t="e">
        <f>AND(#REF!,"AAAAACf9ewo=")</f>
        <v>#REF!</v>
      </c>
      <c r="L85" t="e">
        <f>AND(#REF!,"AAAAACf9ews=")</f>
        <v>#REF!</v>
      </c>
      <c r="M85" t="e">
        <f>AND(#REF!,"AAAAACf9eww=")</f>
        <v>#REF!</v>
      </c>
      <c r="N85" t="e">
        <f>AND(#REF!,"AAAAACf9ew0=")</f>
        <v>#REF!</v>
      </c>
      <c r="O85" t="e">
        <f>AND(#REF!,"AAAAACf9ew4=")</f>
        <v>#REF!</v>
      </c>
      <c r="P85" t="e">
        <f>AND(#REF!,"AAAAACf9ew8=")</f>
        <v>#REF!</v>
      </c>
      <c r="Q85" t="e">
        <f>AND(#REF!,"AAAAACf9exA=")</f>
        <v>#REF!</v>
      </c>
      <c r="R85" t="e">
        <f>AND(#REF!,"AAAAACf9exE=")</f>
        <v>#REF!</v>
      </c>
      <c r="S85" t="e">
        <f>AND(#REF!,"AAAAACf9exI=")</f>
        <v>#REF!</v>
      </c>
      <c r="T85" t="e">
        <f>AND(#REF!,"AAAAACf9exM=")</f>
        <v>#REF!</v>
      </c>
      <c r="U85" t="e">
        <f>AND(#REF!,"AAAAACf9exQ=")</f>
        <v>#REF!</v>
      </c>
      <c r="V85" t="e">
        <f>AND(#REF!,"AAAAACf9exU=")</f>
        <v>#REF!</v>
      </c>
      <c r="W85" t="e">
        <f>AND(#REF!,"AAAAACf9exY=")</f>
        <v>#REF!</v>
      </c>
      <c r="X85" t="e">
        <f>AND(#REF!,"AAAAACf9exc=")</f>
        <v>#REF!</v>
      </c>
      <c r="Y85" t="e">
        <f>AND(#REF!,"AAAAACf9exg=")</f>
        <v>#REF!</v>
      </c>
      <c r="Z85" t="e">
        <f>AND(#REF!,"AAAAACf9exk=")</f>
        <v>#REF!</v>
      </c>
      <c r="AA85" t="e">
        <f>AND(#REF!,"AAAAACf9exo=")</f>
        <v>#REF!</v>
      </c>
      <c r="AB85" t="e">
        <f>AND(#REF!,"AAAAACf9exs=")</f>
        <v>#REF!</v>
      </c>
      <c r="AC85" t="e">
        <f>AND(#REF!,"AAAAACf9exw=")</f>
        <v>#REF!</v>
      </c>
      <c r="AD85" t="e">
        <f>AND(#REF!,"AAAAACf9ex0=")</f>
        <v>#REF!</v>
      </c>
      <c r="AE85" t="e">
        <f>AND(#REF!,"AAAAACf9ex4=")</f>
        <v>#REF!</v>
      </c>
      <c r="AF85" t="e">
        <f>AND(#REF!,"AAAAACf9ex8=")</f>
        <v>#REF!</v>
      </c>
      <c r="AG85" t="e">
        <f>AND(#REF!,"AAAAACf9eyA=")</f>
        <v>#REF!</v>
      </c>
      <c r="AH85" t="e">
        <f>AND(#REF!,"AAAAACf9eyE=")</f>
        <v>#REF!</v>
      </c>
      <c r="AI85" t="e">
        <f>AND(#REF!,"AAAAACf9eyI=")</f>
        <v>#REF!</v>
      </c>
      <c r="AJ85" t="e">
        <f>AND(#REF!,"AAAAACf9eyM=")</f>
        <v>#REF!</v>
      </c>
      <c r="AK85" t="e">
        <f>AND(#REF!,"AAAAACf9eyQ=")</f>
        <v>#REF!</v>
      </c>
      <c r="AL85" t="e">
        <f>AND(#REF!,"AAAAACf9eyU=")</f>
        <v>#REF!</v>
      </c>
      <c r="AM85" t="e">
        <f>AND(#REF!,"AAAAACf9eyY=")</f>
        <v>#REF!</v>
      </c>
      <c r="AN85" t="e">
        <f>AND(#REF!,"AAAAACf9eyc=")</f>
        <v>#REF!</v>
      </c>
      <c r="AO85" t="e">
        <f>AND(#REF!,"AAAAACf9eyg=")</f>
        <v>#REF!</v>
      </c>
      <c r="AP85" t="e">
        <f>AND(#REF!,"AAAAACf9eyk=")</f>
        <v>#REF!</v>
      </c>
      <c r="AQ85" t="e">
        <f>AND(#REF!,"AAAAACf9eyo=")</f>
        <v>#REF!</v>
      </c>
      <c r="AR85" t="e">
        <f>AND(#REF!,"AAAAACf9eys=")</f>
        <v>#REF!</v>
      </c>
      <c r="AS85" t="e">
        <f>AND(#REF!,"AAAAACf9eyw=")</f>
        <v>#REF!</v>
      </c>
      <c r="AT85" t="e">
        <f>AND(#REF!,"AAAAACf9ey0=")</f>
        <v>#REF!</v>
      </c>
      <c r="AU85" t="e">
        <f>AND(#REF!,"AAAAACf9ey4=")</f>
        <v>#REF!</v>
      </c>
      <c r="AV85" t="e">
        <f>AND(#REF!,"AAAAACf9ey8=")</f>
        <v>#REF!</v>
      </c>
      <c r="AW85" t="e">
        <f>AND(#REF!,"AAAAACf9ezA=")</f>
        <v>#REF!</v>
      </c>
      <c r="AX85" t="e">
        <f>AND(#REF!,"AAAAACf9ezE=")</f>
        <v>#REF!</v>
      </c>
      <c r="AY85" t="e">
        <f>AND(#REF!,"AAAAACf9ezI=")</f>
        <v>#REF!</v>
      </c>
      <c r="AZ85" t="e">
        <f>IF(#REF!,"AAAAACf9ezM=",0)</f>
        <v>#REF!</v>
      </c>
      <c r="BA85" t="e">
        <f>AND(#REF!,"AAAAACf9ezQ=")</f>
        <v>#REF!</v>
      </c>
      <c r="BB85" t="e">
        <f>AND(#REF!,"AAAAACf9ezU=")</f>
        <v>#REF!</v>
      </c>
      <c r="BC85" t="e">
        <f>AND(#REF!,"AAAAACf9ezY=")</f>
        <v>#REF!</v>
      </c>
      <c r="BD85" t="e">
        <f>AND(#REF!,"AAAAACf9ezc=")</f>
        <v>#REF!</v>
      </c>
      <c r="BE85" t="e">
        <f>AND(#REF!,"AAAAACf9ezg=")</f>
        <v>#REF!</v>
      </c>
      <c r="BF85" t="e">
        <f>AND(#REF!,"AAAAACf9ezk=")</f>
        <v>#REF!</v>
      </c>
      <c r="BG85" t="e">
        <f>AND(#REF!,"AAAAACf9ezo=")</f>
        <v>#REF!</v>
      </c>
      <c r="BH85" t="e">
        <f>AND(#REF!,"AAAAACf9ezs=")</f>
        <v>#REF!</v>
      </c>
      <c r="BI85" t="e">
        <f>AND(#REF!,"AAAAACf9ezw=")</f>
        <v>#REF!</v>
      </c>
      <c r="BJ85" t="e">
        <f>AND(#REF!,"AAAAACf9ez0=")</f>
        <v>#REF!</v>
      </c>
      <c r="BK85" t="e">
        <f>AND(#REF!,"AAAAACf9ez4=")</f>
        <v>#REF!</v>
      </c>
      <c r="BL85" t="e">
        <f>AND(#REF!,"AAAAACf9ez8=")</f>
        <v>#REF!</v>
      </c>
      <c r="BM85" t="e">
        <f>AND(#REF!,"AAAAACf9e0A=")</f>
        <v>#REF!</v>
      </c>
      <c r="BN85" t="e">
        <f>AND(#REF!,"AAAAACf9e0E=")</f>
        <v>#REF!</v>
      </c>
      <c r="BO85" t="e">
        <f>AND(#REF!,"AAAAACf9e0I=")</f>
        <v>#REF!</v>
      </c>
      <c r="BP85" t="e">
        <f>AND(#REF!,"AAAAACf9e0M=")</f>
        <v>#REF!</v>
      </c>
      <c r="BQ85" t="e">
        <f>AND(#REF!,"AAAAACf9e0Q=")</f>
        <v>#REF!</v>
      </c>
      <c r="BR85" t="e">
        <f>AND(#REF!,"AAAAACf9e0U=")</f>
        <v>#REF!</v>
      </c>
      <c r="BS85" t="e">
        <f>AND(#REF!,"AAAAACf9e0Y=")</f>
        <v>#REF!</v>
      </c>
      <c r="BT85" t="e">
        <f>AND(#REF!,"AAAAACf9e0c=")</f>
        <v>#REF!</v>
      </c>
      <c r="BU85" t="e">
        <f>AND(#REF!,"AAAAACf9e0g=")</f>
        <v>#REF!</v>
      </c>
      <c r="BV85" t="e">
        <f>AND(#REF!,"AAAAACf9e0k=")</f>
        <v>#REF!</v>
      </c>
      <c r="BW85" t="e">
        <f>AND(#REF!,"AAAAACf9e0o=")</f>
        <v>#REF!</v>
      </c>
      <c r="BX85" t="e">
        <f>AND(#REF!,"AAAAACf9e0s=")</f>
        <v>#REF!</v>
      </c>
      <c r="BY85" t="e">
        <f>AND(#REF!,"AAAAACf9e0w=")</f>
        <v>#REF!</v>
      </c>
      <c r="BZ85" t="e">
        <f>AND(#REF!,"AAAAACf9e00=")</f>
        <v>#REF!</v>
      </c>
      <c r="CA85" t="e">
        <f>AND(#REF!,"AAAAACf9e04=")</f>
        <v>#REF!</v>
      </c>
      <c r="CB85" t="e">
        <f>AND(#REF!,"AAAAACf9e08=")</f>
        <v>#REF!</v>
      </c>
      <c r="CC85" t="e">
        <f>AND(#REF!,"AAAAACf9e1A=")</f>
        <v>#REF!</v>
      </c>
      <c r="CD85" t="e">
        <f>AND(#REF!,"AAAAACf9e1E=")</f>
        <v>#REF!</v>
      </c>
      <c r="CE85" t="e">
        <f>AND(#REF!,"AAAAACf9e1I=")</f>
        <v>#REF!</v>
      </c>
      <c r="CF85" t="e">
        <f>AND(#REF!,"AAAAACf9e1M=")</f>
        <v>#REF!</v>
      </c>
      <c r="CG85" t="e">
        <f>AND(#REF!,"AAAAACf9e1Q=")</f>
        <v>#REF!</v>
      </c>
      <c r="CH85" t="e">
        <f>AND(#REF!,"AAAAACf9e1U=")</f>
        <v>#REF!</v>
      </c>
      <c r="CI85" t="e">
        <f>AND(#REF!,"AAAAACf9e1Y=")</f>
        <v>#REF!</v>
      </c>
      <c r="CJ85" t="e">
        <f>AND(#REF!,"AAAAACf9e1c=")</f>
        <v>#REF!</v>
      </c>
      <c r="CK85" t="e">
        <f>AND(#REF!,"AAAAACf9e1g=")</f>
        <v>#REF!</v>
      </c>
      <c r="CL85" t="e">
        <f>AND(#REF!,"AAAAACf9e1k=")</f>
        <v>#REF!</v>
      </c>
      <c r="CM85" t="e">
        <f>AND(#REF!,"AAAAACf9e1o=")</f>
        <v>#REF!</v>
      </c>
      <c r="CN85" t="e">
        <f>AND(#REF!,"AAAAACf9e1s=")</f>
        <v>#REF!</v>
      </c>
      <c r="CO85" t="e">
        <f>AND(#REF!,"AAAAACf9e1w=")</f>
        <v>#REF!</v>
      </c>
      <c r="CP85" t="e">
        <f>IF(#REF!,"AAAAACf9e10=",0)</f>
        <v>#REF!</v>
      </c>
      <c r="CQ85" t="e">
        <f>AND(#REF!,"AAAAACf9e14=")</f>
        <v>#REF!</v>
      </c>
      <c r="CR85" t="e">
        <f>AND(#REF!,"AAAAACf9e18=")</f>
        <v>#REF!</v>
      </c>
      <c r="CS85" t="e">
        <f>AND(#REF!,"AAAAACf9e2A=")</f>
        <v>#REF!</v>
      </c>
      <c r="CT85" t="e">
        <f>AND(#REF!,"AAAAACf9e2E=")</f>
        <v>#REF!</v>
      </c>
      <c r="CU85" t="e">
        <f>AND(#REF!,"AAAAACf9e2I=")</f>
        <v>#REF!</v>
      </c>
      <c r="CV85" t="e">
        <f>AND(#REF!,"AAAAACf9e2M=")</f>
        <v>#REF!</v>
      </c>
      <c r="CW85" t="e">
        <f>AND(#REF!,"AAAAACf9e2Q=")</f>
        <v>#REF!</v>
      </c>
      <c r="CX85" t="e">
        <f>AND(#REF!,"AAAAACf9e2U=")</f>
        <v>#REF!</v>
      </c>
      <c r="CY85" t="e">
        <f>AND(#REF!,"AAAAACf9e2Y=")</f>
        <v>#REF!</v>
      </c>
      <c r="CZ85" t="e">
        <f>AND(#REF!,"AAAAACf9e2c=")</f>
        <v>#REF!</v>
      </c>
      <c r="DA85" t="e">
        <f>AND(#REF!,"AAAAACf9e2g=")</f>
        <v>#REF!</v>
      </c>
      <c r="DB85" t="e">
        <f>AND(#REF!,"AAAAACf9e2k=")</f>
        <v>#REF!</v>
      </c>
      <c r="DC85" t="e">
        <f>AND(#REF!,"AAAAACf9e2o=")</f>
        <v>#REF!</v>
      </c>
      <c r="DD85" t="e">
        <f>AND(#REF!,"AAAAACf9e2s=")</f>
        <v>#REF!</v>
      </c>
      <c r="DE85" t="e">
        <f>AND(#REF!,"AAAAACf9e2w=")</f>
        <v>#REF!</v>
      </c>
      <c r="DF85" t="e">
        <f>AND(#REF!,"AAAAACf9e20=")</f>
        <v>#REF!</v>
      </c>
      <c r="DG85" t="e">
        <f>AND(#REF!,"AAAAACf9e24=")</f>
        <v>#REF!</v>
      </c>
      <c r="DH85" t="e">
        <f>AND(#REF!,"AAAAACf9e28=")</f>
        <v>#REF!</v>
      </c>
      <c r="DI85" t="e">
        <f>AND(#REF!,"AAAAACf9e3A=")</f>
        <v>#REF!</v>
      </c>
      <c r="DJ85" t="e">
        <f>AND(#REF!,"AAAAACf9e3E=")</f>
        <v>#REF!</v>
      </c>
      <c r="DK85" t="e">
        <f>AND(#REF!,"AAAAACf9e3I=")</f>
        <v>#REF!</v>
      </c>
      <c r="DL85" t="e">
        <f>AND(#REF!,"AAAAACf9e3M=")</f>
        <v>#REF!</v>
      </c>
      <c r="DM85" t="e">
        <f>AND(#REF!,"AAAAACf9e3Q=")</f>
        <v>#REF!</v>
      </c>
      <c r="DN85" t="e">
        <f>AND(#REF!,"AAAAACf9e3U=")</f>
        <v>#REF!</v>
      </c>
      <c r="DO85" t="e">
        <f>AND(#REF!,"AAAAACf9e3Y=")</f>
        <v>#REF!</v>
      </c>
      <c r="DP85" t="e">
        <f>AND(#REF!,"AAAAACf9e3c=")</f>
        <v>#REF!</v>
      </c>
      <c r="DQ85" t="e">
        <f>AND(#REF!,"AAAAACf9e3g=")</f>
        <v>#REF!</v>
      </c>
      <c r="DR85" t="e">
        <f>AND(#REF!,"AAAAACf9e3k=")</f>
        <v>#REF!</v>
      </c>
      <c r="DS85" t="e">
        <f>AND(#REF!,"AAAAACf9e3o=")</f>
        <v>#REF!</v>
      </c>
      <c r="DT85" t="e">
        <f>AND(#REF!,"AAAAACf9e3s=")</f>
        <v>#REF!</v>
      </c>
      <c r="DU85" t="e">
        <f>AND(#REF!,"AAAAACf9e3w=")</f>
        <v>#REF!</v>
      </c>
      <c r="DV85" t="e">
        <f>AND(#REF!,"AAAAACf9e30=")</f>
        <v>#REF!</v>
      </c>
      <c r="DW85" t="e">
        <f>AND(#REF!,"AAAAACf9e34=")</f>
        <v>#REF!</v>
      </c>
      <c r="DX85" t="e">
        <f>AND(#REF!,"AAAAACf9e38=")</f>
        <v>#REF!</v>
      </c>
      <c r="DY85" t="e">
        <f>AND(#REF!,"AAAAACf9e4A=")</f>
        <v>#REF!</v>
      </c>
      <c r="DZ85" t="e">
        <f>AND(#REF!,"AAAAACf9e4E=")</f>
        <v>#REF!</v>
      </c>
      <c r="EA85" t="e">
        <f>AND(#REF!,"AAAAACf9e4I=")</f>
        <v>#REF!</v>
      </c>
      <c r="EB85" t="e">
        <f>AND(#REF!,"AAAAACf9e4M=")</f>
        <v>#REF!</v>
      </c>
      <c r="EC85" t="e">
        <f>AND(#REF!,"AAAAACf9e4Q=")</f>
        <v>#REF!</v>
      </c>
      <c r="ED85" t="e">
        <f>AND(#REF!,"AAAAACf9e4U=")</f>
        <v>#REF!</v>
      </c>
      <c r="EE85" t="e">
        <f>AND(#REF!,"AAAAACf9e4Y=")</f>
        <v>#REF!</v>
      </c>
      <c r="EF85" t="e">
        <f>IF(#REF!,"AAAAACf9e4c=",0)</f>
        <v>#REF!</v>
      </c>
      <c r="EG85" t="e">
        <f>AND(#REF!,"AAAAACf9e4g=")</f>
        <v>#REF!</v>
      </c>
      <c r="EH85" t="e">
        <f>AND(#REF!,"AAAAACf9e4k=")</f>
        <v>#REF!</v>
      </c>
      <c r="EI85" t="e">
        <f>AND(#REF!,"AAAAACf9e4o=")</f>
        <v>#REF!</v>
      </c>
      <c r="EJ85" t="e">
        <f>AND(#REF!,"AAAAACf9e4s=")</f>
        <v>#REF!</v>
      </c>
      <c r="EK85" t="e">
        <f>AND(#REF!,"AAAAACf9e4w=")</f>
        <v>#REF!</v>
      </c>
      <c r="EL85" t="e">
        <f>AND(#REF!,"AAAAACf9e40=")</f>
        <v>#REF!</v>
      </c>
      <c r="EM85" t="e">
        <f>AND(#REF!,"AAAAACf9e44=")</f>
        <v>#REF!</v>
      </c>
      <c r="EN85" t="e">
        <f>AND(#REF!,"AAAAACf9e48=")</f>
        <v>#REF!</v>
      </c>
      <c r="EO85" t="e">
        <f>AND(#REF!,"AAAAACf9e5A=")</f>
        <v>#REF!</v>
      </c>
      <c r="EP85" t="e">
        <f>AND(#REF!,"AAAAACf9e5E=")</f>
        <v>#REF!</v>
      </c>
      <c r="EQ85" t="e">
        <f>AND(#REF!,"AAAAACf9e5I=")</f>
        <v>#REF!</v>
      </c>
      <c r="ER85" t="e">
        <f>AND(#REF!,"AAAAACf9e5M=")</f>
        <v>#REF!</v>
      </c>
      <c r="ES85" t="e">
        <f>AND(#REF!,"AAAAACf9e5Q=")</f>
        <v>#REF!</v>
      </c>
      <c r="ET85" t="e">
        <f>AND(#REF!,"AAAAACf9e5U=")</f>
        <v>#REF!</v>
      </c>
      <c r="EU85" t="e">
        <f>AND(#REF!,"AAAAACf9e5Y=")</f>
        <v>#REF!</v>
      </c>
      <c r="EV85" t="e">
        <f>AND(#REF!,"AAAAACf9e5c=")</f>
        <v>#REF!</v>
      </c>
      <c r="EW85" t="e">
        <f>AND(#REF!,"AAAAACf9e5g=")</f>
        <v>#REF!</v>
      </c>
      <c r="EX85" t="e">
        <f>AND(#REF!,"AAAAACf9e5k=")</f>
        <v>#REF!</v>
      </c>
      <c r="EY85" t="e">
        <f>AND(#REF!,"AAAAACf9e5o=")</f>
        <v>#REF!</v>
      </c>
      <c r="EZ85" t="e">
        <f>AND(#REF!,"AAAAACf9e5s=")</f>
        <v>#REF!</v>
      </c>
      <c r="FA85" t="e">
        <f>AND(#REF!,"AAAAACf9e5w=")</f>
        <v>#REF!</v>
      </c>
      <c r="FB85" t="e">
        <f>AND(#REF!,"AAAAACf9e50=")</f>
        <v>#REF!</v>
      </c>
      <c r="FC85" t="e">
        <f>AND(#REF!,"AAAAACf9e54=")</f>
        <v>#REF!</v>
      </c>
      <c r="FD85" t="e">
        <f>AND(#REF!,"AAAAACf9e58=")</f>
        <v>#REF!</v>
      </c>
      <c r="FE85" t="e">
        <f>AND(#REF!,"AAAAACf9e6A=")</f>
        <v>#REF!</v>
      </c>
      <c r="FF85" t="e">
        <f>AND(#REF!,"AAAAACf9e6E=")</f>
        <v>#REF!</v>
      </c>
      <c r="FG85" t="e">
        <f>AND(#REF!,"AAAAACf9e6I=")</f>
        <v>#REF!</v>
      </c>
      <c r="FH85" t="e">
        <f>AND(#REF!,"AAAAACf9e6M=")</f>
        <v>#REF!</v>
      </c>
      <c r="FI85" t="e">
        <f>AND(#REF!,"AAAAACf9e6Q=")</f>
        <v>#REF!</v>
      </c>
      <c r="FJ85" t="e">
        <f>AND(#REF!,"AAAAACf9e6U=")</f>
        <v>#REF!</v>
      </c>
      <c r="FK85" t="e">
        <f>AND(#REF!,"AAAAACf9e6Y=")</f>
        <v>#REF!</v>
      </c>
      <c r="FL85" t="e">
        <f>AND(#REF!,"AAAAACf9e6c=")</f>
        <v>#REF!</v>
      </c>
      <c r="FM85" t="e">
        <f>AND(#REF!,"AAAAACf9e6g=")</f>
        <v>#REF!</v>
      </c>
      <c r="FN85" t="e">
        <f>AND(#REF!,"AAAAACf9e6k=")</f>
        <v>#REF!</v>
      </c>
      <c r="FO85" t="e">
        <f>AND(#REF!,"AAAAACf9e6o=")</f>
        <v>#REF!</v>
      </c>
      <c r="FP85" t="e">
        <f>AND(#REF!,"AAAAACf9e6s=")</f>
        <v>#REF!</v>
      </c>
      <c r="FQ85" t="e">
        <f>AND(#REF!,"AAAAACf9e6w=")</f>
        <v>#REF!</v>
      </c>
      <c r="FR85" t="e">
        <f>AND(#REF!,"AAAAACf9e60=")</f>
        <v>#REF!</v>
      </c>
      <c r="FS85" t="e">
        <f>AND(#REF!,"AAAAACf9e64=")</f>
        <v>#REF!</v>
      </c>
      <c r="FT85" t="e">
        <f>AND(#REF!,"AAAAACf9e68=")</f>
        <v>#REF!</v>
      </c>
      <c r="FU85" t="e">
        <f>AND(#REF!,"AAAAACf9e7A=")</f>
        <v>#REF!</v>
      </c>
      <c r="FV85" t="e">
        <f>IF(#REF!,"AAAAACf9e7E=",0)</f>
        <v>#REF!</v>
      </c>
      <c r="FW85" t="e">
        <f>AND(#REF!,"AAAAACf9e7I=")</f>
        <v>#REF!</v>
      </c>
      <c r="FX85" t="e">
        <f>AND(#REF!,"AAAAACf9e7M=")</f>
        <v>#REF!</v>
      </c>
      <c r="FY85" t="e">
        <f>AND(#REF!,"AAAAACf9e7Q=")</f>
        <v>#REF!</v>
      </c>
      <c r="FZ85" t="e">
        <f>AND(#REF!,"AAAAACf9e7U=")</f>
        <v>#REF!</v>
      </c>
      <c r="GA85" t="e">
        <f>AND(#REF!,"AAAAACf9e7Y=")</f>
        <v>#REF!</v>
      </c>
      <c r="GB85" t="e">
        <f>AND(#REF!,"AAAAACf9e7c=")</f>
        <v>#REF!</v>
      </c>
      <c r="GC85" t="e">
        <f>AND(#REF!,"AAAAACf9e7g=")</f>
        <v>#REF!</v>
      </c>
      <c r="GD85" t="e">
        <f>AND(#REF!,"AAAAACf9e7k=")</f>
        <v>#REF!</v>
      </c>
      <c r="GE85" t="e">
        <f>AND(#REF!,"AAAAACf9e7o=")</f>
        <v>#REF!</v>
      </c>
      <c r="GF85" t="e">
        <f>AND(#REF!,"AAAAACf9e7s=")</f>
        <v>#REF!</v>
      </c>
      <c r="GG85" t="e">
        <f>AND(#REF!,"AAAAACf9e7w=")</f>
        <v>#REF!</v>
      </c>
      <c r="GH85" t="e">
        <f>AND(#REF!,"AAAAACf9e70=")</f>
        <v>#REF!</v>
      </c>
      <c r="GI85" t="e">
        <f>AND(#REF!,"AAAAACf9e74=")</f>
        <v>#REF!</v>
      </c>
      <c r="GJ85" t="e">
        <f>AND(#REF!,"AAAAACf9e78=")</f>
        <v>#REF!</v>
      </c>
      <c r="GK85" t="e">
        <f>AND(#REF!,"AAAAACf9e8A=")</f>
        <v>#REF!</v>
      </c>
      <c r="GL85" t="e">
        <f>AND(#REF!,"AAAAACf9e8E=")</f>
        <v>#REF!</v>
      </c>
      <c r="GM85" t="e">
        <f>AND(#REF!,"AAAAACf9e8I=")</f>
        <v>#REF!</v>
      </c>
      <c r="GN85" t="e">
        <f>AND(#REF!,"AAAAACf9e8M=")</f>
        <v>#REF!</v>
      </c>
      <c r="GO85" t="e">
        <f>AND(#REF!,"AAAAACf9e8Q=")</f>
        <v>#REF!</v>
      </c>
      <c r="GP85" t="e">
        <f>AND(#REF!,"AAAAACf9e8U=")</f>
        <v>#REF!</v>
      </c>
      <c r="GQ85" t="e">
        <f>AND(#REF!,"AAAAACf9e8Y=")</f>
        <v>#REF!</v>
      </c>
      <c r="GR85" t="e">
        <f>AND(#REF!,"AAAAACf9e8c=")</f>
        <v>#REF!</v>
      </c>
      <c r="GS85" t="e">
        <f>AND(#REF!,"AAAAACf9e8g=")</f>
        <v>#REF!</v>
      </c>
      <c r="GT85" t="e">
        <f>AND(#REF!,"AAAAACf9e8k=")</f>
        <v>#REF!</v>
      </c>
      <c r="GU85" t="e">
        <f>AND(#REF!,"AAAAACf9e8o=")</f>
        <v>#REF!</v>
      </c>
      <c r="GV85" t="e">
        <f>AND(#REF!,"AAAAACf9e8s=")</f>
        <v>#REF!</v>
      </c>
      <c r="GW85" t="e">
        <f>AND(#REF!,"AAAAACf9e8w=")</f>
        <v>#REF!</v>
      </c>
      <c r="GX85" t="e">
        <f>AND(#REF!,"AAAAACf9e80=")</f>
        <v>#REF!</v>
      </c>
      <c r="GY85" t="e">
        <f>AND(#REF!,"AAAAACf9e84=")</f>
        <v>#REF!</v>
      </c>
      <c r="GZ85" t="e">
        <f>AND(#REF!,"AAAAACf9e88=")</f>
        <v>#REF!</v>
      </c>
      <c r="HA85" t="e">
        <f>AND(#REF!,"AAAAACf9e9A=")</f>
        <v>#REF!</v>
      </c>
      <c r="HB85" t="e">
        <f>AND(#REF!,"AAAAACf9e9E=")</f>
        <v>#REF!</v>
      </c>
      <c r="HC85" t="e">
        <f>AND(#REF!,"AAAAACf9e9I=")</f>
        <v>#REF!</v>
      </c>
      <c r="HD85" t="e">
        <f>AND(#REF!,"AAAAACf9e9M=")</f>
        <v>#REF!</v>
      </c>
      <c r="HE85" t="e">
        <f>AND(#REF!,"AAAAACf9e9Q=")</f>
        <v>#REF!</v>
      </c>
      <c r="HF85" t="e">
        <f>AND(#REF!,"AAAAACf9e9U=")</f>
        <v>#REF!</v>
      </c>
      <c r="HG85" t="e">
        <f>AND(#REF!,"AAAAACf9e9Y=")</f>
        <v>#REF!</v>
      </c>
      <c r="HH85" t="e">
        <f>AND(#REF!,"AAAAACf9e9c=")</f>
        <v>#REF!</v>
      </c>
      <c r="HI85" t="e">
        <f>AND(#REF!,"AAAAACf9e9g=")</f>
        <v>#REF!</v>
      </c>
      <c r="HJ85" t="e">
        <f>AND(#REF!,"AAAAACf9e9k=")</f>
        <v>#REF!</v>
      </c>
      <c r="HK85" t="e">
        <f>AND(#REF!,"AAAAACf9e9o=")</f>
        <v>#REF!</v>
      </c>
      <c r="HL85" t="e">
        <f>IF(#REF!,"AAAAACf9e9s=",0)</f>
        <v>#REF!</v>
      </c>
      <c r="HM85" t="e">
        <f>AND(#REF!,"AAAAACf9e9w=")</f>
        <v>#REF!</v>
      </c>
      <c r="HN85" t="e">
        <f>AND(#REF!,"AAAAACf9e90=")</f>
        <v>#REF!</v>
      </c>
      <c r="HO85" t="e">
        <f>AND(#REF!,"AAAAACf9e94=")</f>
        <v>#REF!</v>
      </c>
      <c r="HP85" t="e">
        <f>AND(#REF!,"AAAAACf9e98=")</f>
        <v>#REF!</v>
      </c>
      <c r="HQ85" t="e">
        <f>AND(#REF!,"AAAAACf9e+A=")</f>
        <v>#REF!</v>
      </c>
      <c r="HR85" t="e">
        <f>AND(#REF!,"AAAAACf9e+E=")</f>
        <v>#REF!</v>
      </c>
      <c r="HS85" t="e">
        <f>AND(#REF!,"AAAAACf9e+I=")</f>
        <v>#REF!</v>
      </c>
      <c r="HT85" t="e">
        <f>AND(#REF!,"AAAAACf9e+M=")</f>
        <v>#REF!</v>
      </c>
      <c r="HU85" t="e">
        <f>AND(#REF!,"AAAAACf9e+Q=")</f>
        <v>#REF!</v>
      </c>
      <c r="HV85" t="e">
        <f>AND(#REF!,"AAAAACf9e+U=")</f>
        <v>#REF!</v>
      </c>
      <c r="HW85" t="e">
        <f>AND(#REF!,"AAAAACf9e+Y=")</f>
        <v>#REF!</v>
      </c>
      <c r="HX85" t="e">
        <f>AND(#REF!,"AAAAACf9e+c=")</f>
        <v>#REF!</v>
      </c>
      <c r="HY85" t="e">
        <f>AND(#REF!,"AAAAACf9e+g=")</f>
        <v>#REF!</v>
      </c>
      <c r="HZ85" t="e">
        <f>AND(#REF!,"AAAAACf9e+k=")</f>
        <v>#REF!</v>
      </c>
      <c r="IA85" t="e">
        <f>AND(#REF!,"AAAAACf9e+o=")</f>
        <v>#REF!</v>
      </c>
      <c r="IB85" t="e">
        <f>AND(#REF!,"AAAAACf9e+s=")</f>
        <v>#REF!</v>
      </c>
      <c r="IC85" t="e">
        <f>AND(#REF!,"AAAAACf9e+w=")</f>
        <v>#REF!</v>
      </c>
      <c r="ID85" t="e">
        <f>AND(#REF!,"AAAAACf9e+0=")</f>
        <v>#REF!</v>
      </c>
      <c r="IE85" t="e">
        <f>AND(#REF!,"AAAAACf9e+4=")</f>
        <v>#REF!</v>
      </c>
      <c r="IF85" t="e">
        <f>AND(#REF!,"AAAAACf9e+8=")</f>
        <v>#REF!</v>
      </c>
      <c r="IG85" t="e">
        <f>AND(#REF!,"AAAAACf9e/A=")</f>
        <v>#REF!</v>
      </c>
      <c r="IH85" t="e">
        <f>AND(#REF!,"AAAAACf9e/E=")</f>
        <v>#REF!</v>
      </c>
      <c r="II85" t="e">
        <f>AND(#REF!,"AAAAACf9e/I=")</f>
        <v>#REF!</v>
      </c>
      <c r="IJ85" t="e">
        <f>AND(#REF!,"AAAAACf9e/M=")</f>
        <v>#REF!</v>
      </c>
      <c r="IK85" t="e">
        <f>AND(#REF!,"AAAAACf9e/Q=")</f>
        <v>#REF!</v>
      </c>
      <c r="IL85" t="e">
        <f>AND(#REF!,"AAAAACf9e/U=")</f>
        <v>#REF!</v>
      </c>
      <c r="IM85" t="e">
        <f>AND(#REF!,"AAAAACf9e/Y=")</f>
        <v>#REF!</v>
      </c>
      <c r="IN85" t="e">
        <f>AND(#REF!,"AAAAACf9e/c=")</f>
        <v>#REF!</v>
      </c>
      <c r="IO85" t="e">
        <f>AND(#REF!,"AAAAACf9e/g=")</f>
        <v>#REF!</v>
      </c>
      <c r="IP85" t="e">
        <f>AND(#REF!,"AAAAACf9e/k=")</f>
        <v>#REF!</v>
      </c>
      <c r="IQ85" t="e">
        <f>AND(#REF!,"AAAAACf9e/o=")</f>
        <v>#REF!</v>
      </c>
      <c r="IR85" t="e">
        <f>AND(#REF!,"AAAAACf9e/s=")</f>
        <v>#REF!</v>
      </c>
      <c r="IS85" t="e">
        <f>AND(#REF!,"AAAAACf9e/w=")</f>
        <v>#REF!</v>
      </c>
      <c r="IT85" t="e">
        <f>AND(#REF!,"AAAAACf9e/0=")</f>
        <v>#REF!</v>
      </c>
      <c r="IU85" t="e">
        <f>AND(#REF!,"AAAAACf9e/4=")</f>
        <v>#REF!</v>
      </c>
      <c r="IV85" t="e">
        <f>AND(#REF!,"AAAAACf9e/8=")</f>
        <v>#REF!</v>
      </c>
    </row>
    <row r="86" spans="1:256">
      <c r="A86" t="e">
        <f>AND(#REF!,"AAAAAHn07gA=")</f>
        <v>#REF!</v>
      </c>
      <c r="B86" t="e">
        <f>AND(#REF!,"AAAAAHn07gE=")</f>
        <v>#REF!</v>
      </c>
      <c r="C86" t="e">
        <f>AND(#REF!,"AAAAAHn07gI=")</f>
        <v>#REF!</v>
      </c>
      <c r="D86" t="e">
        <f>AND(#REF!,"AAAAAHn07gM=")</f>
        <v>#REF!</v>
      </c>
      <c r="E86" t="e">
        <f>AND(#REF!,"AAAAAHn07gQ=")</f>
        <v>#REF!</v>
      </c>
      <c r="F86" t="e">
        <f>IF(#REF!,"AAAAAHn07gU=",0)</f>
        <v>#REF!</v>
      </c>
      <c r="G86" t="e">
        <f>AND(#REF!,"AAAAAHn07gY=")</f>
        <v>#REF!</v>
      </c>
      <c r="H86" t="e">
        <f>AND(#REF!,"AAAAAHn07gc=")</f>
        <v>#REF!</v>
      </c>
      <c r="I86" t="e">
        <f>AND(#REF!,"AAAAAHn07gg=")</f>
        <v>#REF!</v>
      </c>
      <c r="J86" t="e">
        <f>AND(#REF!,"AAAAAHn07gk=")</f>
        <v>#REF!</v>
      </c>
      <c r="K86" t="e">
        <f>AND(#REF!,"AAAAAHn07go=")</f>
        <v>#REF!</v>
      </c>
      <c r="L86" t="e">
        <f>AND(#REF!,"AAAAAHn07gs=")</f>
        <v>#REF!</v>
      </c>
      <c r="M86" t="e">
        <f>AND(#REF!,"AAAAAHn07gw=")</f>
        <v>#REF!</v>
      </c>
      <c r="N86" t="e">
        <f>AND(#REF!,"AAAAAHn07g0=")</f>
        <v>#REF!</v>
      </c>
      <c r="O86" t="e">
        <f>AND(#REF!,"AAAAAHn07g4=")</f>
        <v>#REF!</v>
      </c>
      <c r="P86" t="e">
        <f>AND(#REF!,"AAAAAHn07g8=")</f>
        <v>#REF!</v>
      </c>
      <c r="Q86" t="e">
        <f>AND(#REF!,"AAAAAHn07hA=")</f>
        <v>#REF!</v>
      </c>
      <c r="R86" t="e">
        <f>AND(#REF!,"AAAAAHn07hE=")</f>
        <v>#REF!</v>
      </c>
      <c r="S86" t="e">
        <f>AND(#REF!,"AAAAAHn07hI=")</f>
        <v>#REF!</v>
      </c>
      <c r="T86" t="e">
        <f>AND(#REF!,"AAAAAHn07hM=")</f>
        <v>#REF!</v>
      </c>
      <c r="U86" t="e">
        <f>AND(#REF!,"AAAAAHn07hQ=")</f>
        <v>#REF!</v>
      </c>
      <c r="V86" t="e">
        <f>AND(#REF!,"AAAAAHn07hU=")</f>
        <v>#REF!</v>
      </c>
      <c r="W86" t="e">
        <f>AND(#REF!,"AAAAAHn07hY=")</f>
        <v>#REF!</v>
      </c>
      <c r="X86" t="e">
        <f>AND(#REF!,"AAAAAHn07hc=")</f>
        <v>#REF!</v>
      </c>
      <c r="Y86" t="e">
        <f>AND(#REF!,"AAAAAHn07hg=")</f>
        <v>#REF!</v>
      </c>
      <c r="Z86" t="e">
        <f>AND(#REF!,"AAAAAHn07hk=")</f>
        <v>#REF!</v>
      </c>
      <c r="AA86" t="e">
        <f>AND(#REF!,"AAAAAHn07ho=")</f>
        <v>#REF!</v>
      </c>
      <c r="AB86" t="e">
        <f>AND(#REF!,"AAAAAHn07hs=")</f>
        <v>#REF!</v>
      </c>
      <c r="AC86" t="e">
        <f>AND(#REF!,"AAAAAHn07hw=")</f>
        <v>#REF!</v>
      </c>
      <c r="AD86" t="e">
        <f>AND(#REF!,"AAAAAHn07h0=")</f>
        <v>#REF!</v>
      </c>
      <c r="AE86" t="e">
        <f>AND(#REF!,"AAAAAHn07h4=")</f>
        <v>#REF!</v>
      </c>
      <c r="AF86" t="e">
        <f>AND(#REF!,"AAAAAHn07h8=")</f>
        <v>#REF!</v>
      </c>
      <c r="AG86" t="e">
        <f>AND(#REF!,"AAAAAHn07iA=")</f>
        <v>#REF!</v>
      </c>
      <c r="AH86" t="e">
        <f>AND(#REF!,"AAAAAHn07iE=")</f>
        <v>#REF!</v>
      </c>
      <c r="AI86" t="e">
        <f>AND(#REF!,"AAAAAHn07iI=")</f>
        <v>#REF!</v>
      </c>
      <c r="AJ86" t="e">
        <f>AND(#REF!,"AAAAAHn07iM=")</f>
        <v>#REF!</v>
      </c>
      <c r="AK86" t="e">
        <f>AND(#REF!,"AAAAAHn07iQ=")</f>
        <v>#REF!</v>
      </c>
      <c r="AL86" t="e">
        <f>AND(#REF!,"AAAAAHn07iU=")</f>
        <v>#REF!</v>
      </c>
      <c r="AM86" t="e">
        <f>AND(#REF!,"AAAAAHn07iY=")</f>
        <v>#REF!</v>
      </c>
      <c r="AN86" t="e">
        <f>AND(#REF!,"AAAAAHn07ic=")</f>
        <v>#REF!</v>
      </c>
      <c r="AO86" t="e">
        <f>AND(#REF!,"AAAAAHn07ig=")</f>
        <v>#REF!</v>
      </c>
      <c r="AP86" t="e">
        <f>AND(#REF!,"AAAAAHn07ik=")</f>
        <v>#REF!</v>
      </c>
      <c r="AQ86" t="e">
        <f>AND(#REF!,"AAAAAHn07io=")</f>
        <v>#REF!</v>
      </c>
      <c r="AR86" t="e">
        <f>AND(#REF!,"AAAAAHn07is=")</f>
        <v>#REF!</v>
      </c>
      <c r="AS86" t="e">
        <f>AND(#REF!,"AAAAAHn07iw=")</f>
        <v>#REF!</v>
      </c>
      <c r="AT86" t="e">
        <f>AND(#REF!,"AAAAAHn07i0=")</f>
        <v>#REF!</v>
      </c>
      <c r="AU86" t="e">
        <f>AND(#REF!,"AAAAAHn07i4=")</f>
        <v>#REF!</v>
      </c>
      <c r="AV86" t="e">
        <f>IF(#REF!,"AAAAAHn07i8=",0)</f>
        <v>#REF!</v>
      </c>
      <c r="AW86" t="e">
        <f>AND(#REF!,"AAAAAHn07jA=")</f>
        <v>#REF!</v>
      </c>
      <c r="AX86" t="e">
        <f>AND(#REF!,"AAAAAHn07jE=")</f>
        <v>#REF!</v>
      </c>
      <c r="AY86" t="e">
        <f>AND(#REF!,"AAAAAHn07jI=")</f>
        <v>#REF!</v>
      </c>
      <c r="AZ86" t="e">
        <f>AND(#REF!,"AAAAAHn07jM=")</f>
        <v>#REF!</v>
      </c>
      <c r="BA86" t="e">
        <f>AND(#REF!,"AAAAAHn07jQ=")</f>
        <v>#REF!</v>
      </c>
      <c r="BB86" t="e">
        <f>AND(#REF!,"AAAAAHn07jU=")</f>
        <v>#REF!</v>
      </c>
      <c r="BC86" t="e">
        <f>AND(#REF!,"AAAAAHn07jY=")</f>
        <v>#REF!</v>
      </c>
      <c r="BD86" t="e">
        <f>AND(#REF!,"AAAAAHn07jc=")</f>
        <v>#REF!</v>
      </c>
      <c r="BE86" t="e">
        <f>AND(#REF!,"AAAAAHn07jg=")</f>
        <v>#REF!</v>
      </c>
      <c r="BF86" t="e">
        <f>AND(#REF!,"AAAAAHn07jk=")</f>
        <v>#REF!</v>
      </c>
      <c r="BG86" t="e">
        <f>AND(#REF!,"AAAAAHn07jo=")</f>
        <v>#REF!</v>
      </c>
      <c r="BH86" t="e">
        <f>AND(#REF!,"AAAAAHn07js=")</f>
        <v>#REF!</v>
      </c>
      <c r="BI86" t="e">
        <f>AND(#REF!,"AAAAAHn07jw=")</f>
        <v>#REF!</v>
      </c>
      <c r="BJ86" t="e">
        <f>AND(#REF!,"AAAAAHn07j0=")</f>
        <v>#REF!</v>
      </c>
      <c r="BK86" t="e">
        <f>AND(#REF!,"AAAAAHn07j4=")</f>
        <v>#REF!</v>
      </c>
      <c r="BL86" t="e">
        <f>AND(#REF!,"AAAAAHn07j8=")</f>
        <v>#REF!</v>
      </c>
      <c r="BM86" t="e">
        <f>AND(#REF!,"AAAAAHn07kA=")</f>
        <v>#REF!</v>
      </c>
      <c r="BN86" t="e">
        <f>AND(#REF!,"AAAAAHn07kE=")</f>
        <v>#REF!</v>
      </c>
      <c r="BO86" t="e">
        <f>AND(#REF!,"AAAAAHn07kI=")</f>
        <v>#REF!</v>
      </c>
      <c r="BP86" t="e">
        <f>AND(#REF!,"AAAAAHn07kM=")</f>
        <v>#REF!</v>
      </c>
      <c r="BQ86" t="e">
        <f>AND(#REF!,"AAAAAHn07kQ=")</f>
        <v>#REF!</v>
      </c>
      <c r="BR86" t="e">
        <f>AND(#REF!,"AAAAAHn07kU=")</f>
        <v>#REF!</v>
      </c>
      <c r="BS86" t="e">
        <f>AND(#REF!,"AAAAAHn07kY=")</f>
        <v>#REF!</v>
      </c>
      <c r="BT86" t="e">
        <f>AND(#REF!,"AAAAAHn07kc=")</f>
        <v>#REF!</v>
      </c>
      <c r="BU86" t="e">
        <f>AND(#REF!,"AAAAAHn07kg=")</f>
        <v>#REF!</v>
      </c>
      <c r="BV86" t="e">
        <f>AND(#REF!,"AAAAAHn07kk=")</f>
        <v>#REF!</v>
      </c>
      <c r="BW86" t="e">
        <f>AND(#REF!,"AAAAAHn07ko=")</f>
        <v>#REF!</v>
      </c>
      <c r="BX86" t="e">
        <f>AND(#REF!,"AAAAAHn07ks=")</f>
        <v>#REF!</v>
      </c>
      <c r="BY86" t="e">
        <f>AND(#REF!,"AAAAAHn07kw=")</f>
        <v>#REF!</v>
      </c>
      <c r="BZ86" t="e">
        <f>AND(#REF!,"AAAAAHn07k0=")</f>
        <v>#REF!</v>
      </c>
      <c r="CA86" t="e">
        <f>AND(#REF!,"AAAAAHn07k4=")</f>
        <v>#REF!</v>
      </c>
      <c r="CB86" t="e">
        <f>AND(#REF!,"AAAAAHn07k8=")</f>
        <v>#REF!</v>
      </c>
      <c r="CC86" t="e">
        <f>AND(#REF!,"AAAAAHn07lA=")</f>
        <v>#REF!</v>
      </c>
      <c r="CD86" t="e">
        <f>AND(#REF!,"AAAAAHn07lE=")</f>
        <v>#REF!</v>
      </c>
      <c r="CE86" t="e">
        <f>AND(#REF!,"AAAAAHn07lI=")</f>
        <v>#REF!</v>
      </c>
      <c r="CF86" t="e">
        <f>AND(#REF!,"AAAAAHn07lM=")</f>
        <v>#REF!</v>
      </c>
      <c r="CG86" t="e">
        <f>AND(#REF!,"AAAAAHn07lQ=")</f>
        <v>#REF!</v>
      </c>
      <c r="CH86" t="e">
        <f>AND(#REF!,"AAAAAHn07lU=")</f>
        <v>#REF!</v>
      </c>
      <c r="CI86" t="e">
        <f>AND(#REF!,"AAAAAHn07lY=")</f>
        <v>#REF!</v>
      </c>
      <c r="CJ86" t="e">
        <f>AND(#REF!,"AAAAAHn07lc=")</f>
        <v>#REF!</v>
      </c>
      <c r="CK86" t="e">
        <f>AND(#REF!,"AAAAAHn07lg=")</f>
        <v>#REF!</v>
      </c>
      <c r="CL86" t="e">
        <f>IF(#REF!,"AAAAAHn07lk=",0)</f>
        <v>#REF!</v>
      </c>
      <c r="CM86" t="e">
        <f>AND(#REF!,"AAAAAHn07lo=")</f>
        <v>#REF!</v>
      </c>
      <c r="CN86" t="e">
        <f>AND(#REF!,"AAAAAHn07ls=")</f>
        <v>#REF!</v>
      </c>
      <c r="CO86" t="e">
        <f>AND(#REF!,"AAAAAHn07lw=")</f>
        <v>#REF!</v>
      </c>
      <c r="CP86" t="e">
        <f>AND(#REF!,"AAAAAHn07l0=")</f>
        <v>#REF!</v>
      </c>
      <c r="CQ86" t="e">
        <f>AND(#REF!,"AAAAAHn07l4=")</f>
        <v>#REF!</v>
      </c>
      <c r="CR86" t="e">
        <f>AND(#REF!,"AAAAAHn07l8=")</f>
        <v>#REF!</v>
      </c>
      <c r="CS86" t="e">
        <f>AND(#REF!,"AAAAAHn07mA=")</f>
        <v>#REF!</v>
      </c>
      <c r="CT86" t="e">
        <f>AND(#REF!,"AAAAAHn07mE=")</f>
        <v>#REF!</v>
      </c>
      <c r="CU86" t="e">
        <f>AND(#REF!,"AAAAAHn07mI=")</f>
        <v>#REF!</v>
      </c>
      <c r="CV86" t="e">
        <f>AND(#REF!,"AAAAAHn07mM=")</f>
        <v>#REF!</v>
      </c>
      <c r="CW86" t="e">
        <f>AND(#REF!,"AAAAAHn07mQ=")</f>
        <v>#REF!</v>
      </c>
      <c r="CX86" t="e">
        <f>AND(#REF!,"AAAAAHn07mU=")</f>
        <v>#REF!</v>
      </c>
      <c r="CY86" t="e">
        <f>AND(#REF!,"AAAAAHn07mY=")</f>
        <v>#REF!</v>
      </c>
      <c r="CZ86" t="e">
        <f>AND(#REF!,"AAAAAHn07mc=")</f>
        <v>#REF!</v>
      </c>
      <c r="DA86" t="e">
        <f>AND(#REF!,"AAAAAHn07mg=")</f>
        <v>#REF!</v>
      </c>
      <c r="DB86" t="e">
        <f>AND(#REF!,"AAAAAHn07mk=")</f>
        <v>#REF!</v>
      </c>
      <c r="DC86" t="e">
        <f>AND(#REF!,"AAAAAHn07mo=")</f>
        <v>#REF!</v>
      </c>
      <c r="DD86" t="e">
        <f>AND(#REF!,"AAAAAHn07ms=")</f>
        <v>#REF!</v>
      </c>
      <c r="DE86" t="e">
        <f>AND(#REF!,"AAAAAHn07mw=")</f>
        <v>#REF!</v>
      </c>
      <c r="DF86" t="e">
        <f>AND(#REF!,"AAAAAHn07m0=")</f>
        <v>#REF!</v>
      </c>
      <c r="DG86" t="e">
        <f>AND(#REF!,"AAAAAHn07m4=")</f>
        <v>#REF!</v>
      </c>
      <c r="DH86" t="e">
        <f>AND(#REF!,"AAAAAHn07m8=")</f>
        <v>#REF!</v>
      </c>
      <c r="DI86" t="e">
        <f>AND(#REF!,"AAAAAHn07nA=")</f>
        <v>#REF!</v>
      </c>
      <c r="DJ86" t="e">
        <f>AND(#REF!,"AAAAAHn07nE=")</f>
        <v>#REF!</v>
      </c>
      <c r="DK86" t="e">
        <f>AND(#REF!,"AAAAAHn07nI=")</f>
        <v>#REF!</v>
      </c>
      <c r="DL86" t="e">
        <f>AND(#REF!,"AAAAAHn07nM=")</f>
        <v>#REF!</v>
      </c>
      <c r="DM86" t="e">
        <f>AND(#REF!,"AAAAAHn07nQ=")</f>
        <v>#REF!</v>
      </c>
      <c r="DN86" t="e">
        <f>AND(#REF!,"AAAAAHn07nU=")</f>
        <v>#REF!</v>
      </c>
      <c r="DO86" t="e">
        <f>AND(#REF!,"AAAAAHn07nY=")</f>
        <v>#REF!</v>
      </c>
      <c r="DP86" t="e">
        <f>AND(#REF!,"AAAAAHn07nc=")</f>
        <v>#REF!</v>
      </c>
      <c r="DQ86" t="e">
        <f>AND(#REF!,"AAAAAHn07ng=")</f>
        <v>#REF!</v>
      </c>
      <c r="DR86" t="e">
        <f>AND(#REF!,"AAAAAHn07nk=")</f>
        <v>#REF!</v>
      </c>
      <c r="DS86" t="e">
        <f>AND(#REF!,"AAAAAHn07no=")</f>
        <v>#REF!</v>
      </c>
      <c r="DT86" t="e">
        <f>AND(#REF!,"AAAAAHn07ns=")</f>
        <v>#REF!</v>
      </c>
      <c r="DU86" t="e">
        <f>AND(#REF!,"AAAAAHn07nw=")</f>
        <v>#REF!</v>
      </c>
      <c r="DV86" t="e">
        <f>AND(#REF!,"AAAAAHn07n0=")</f>
        <v>#REF!</v>
      </c>
      <c r="DW86" t="e">
        <f>AND(#REF!,"AAAAAHn07n4=")</f>
        <v>#REF!</v>
      </c>
      <c r="DX86" t="e">
        <f>AND(#REF!,"AAAAAHn07n8=")</f>
        <v>#REF!</v>
      </c>
      <c r="DY86" t="e">
        <f>AND(#REF!,"AAAAAHn07oA=")</f>
        <v>#REF!</v>
      </c>
      <c r="DZ86" t="e">
        <f>AND(#REF!,"AAAAAHn07oE=")</f>
        <v>#REF!</v>
      </c>
      <c r="EA86" t="e">
        <f>AND(#REF!,"AAAAAHn07oI=")</f>
        <v>#REF!</v>
      </c>
      <c r="EB86" t="e">
        <f>IF(#REF!,"AAAAAHn07oM=",0)</f>
        <v>#REF!</v>
      </c>
      <c r="EC86" t="e">
        <f>AND(#REF!,"AAAAAHn07oQ=")</f>
        <v>#REF!</v>
      </c>
      <c r="ED86" t="e">
        <f>AND(#REF!,"AAAAAHn07oU=")</f>
        <v>#REF!</v>
      </c>
      <c r="EE86" t="e">
        <f>AND(#REF!,"AAAAAHn07oY=")</f>
        <v>#REF!</v>
      </c>
      <c r="EF86" t="e">
        <f>AND(#REF!,"AAAAAHn07oc=")</f>
        <v>#REF!</v>
      </c>
      <c r="EG86" t="e">
        <f>AND(#REF!,"AAAAAHn07og=")</f>
        <v>#REF!</v>
      </c>
      <c r="EH86" t="e">
        <f>AND(#REF!,"AAAAAHn07ok=")</f>
        <v>#REF!</v>
      </c>
      <c r="EI86" t="e">
        <f>AND(#REF!,"AAAAAHn07oo=")</f>
        <v>#REF!</v>
      </c>
      <c r="EJ86" t="e">
        <f>AND(#REF!,"AAAAAHn07os=")</f>
        <v>#REF!</v>
      </c>
      <c r="EK86" t="e">
        <f>AND(#REF!,"AAAAAHn07ow=")</f>
        <v>#REF!</v>
      </c>
      <c r="EL86" t="e">
        <f>AND(#REF!,"AAAAAHn07o0=")</f>
        <v>#REF!</v>
      </c>
      <c r="EM86" t="e">
        <f>AND(#REF!,"AAAAAHn07o4=")</f>
        <v>#REF!</v>
      </c>
      <c r="EN86" t="e">
        <f>AND(#REF!,"AAAAAHn07o8=")</f>
        <v>#REF!</v>
      </c>
      <c r="EO86" t="e">
        <f>AND(#REF!,"AAAAAHn07pA=")</f>
        <v>#REF!</v>
      </c>
      <c r="EP86" t="e">
        <f>AND(#REF!,"AAAAAHn07pE=")</f>
        <v>#REF!</v>
      </c>
      <c r="EQ86" t="e">
        <f>AND(#REF!,"AAAAAHn07pI=")</f>
        <v>#REF!</v>
      </c>
      <c r="ER86" t="e">
        <f>AND(#REF!,"AAAAAHn07pM=")</f>
        <v>#REF!</v>
      </c>
      <c r="ES86" t="e">
        <f>AND(#REF!,"AAAAAHn07pQ=")</f>
        <v>#REF!</v>
      </c>
      <c r="ET86" t="e">
        <f>AND(#REF!,"AAAAAHn07pU=")</f>
        <v>#REF!</v>
      </c>
      <c r="EU86" t="e">
        <f>AND(#REF!,"AAAAAHn07pY=")</f>
        <v>#REF!</v>
      </c>
      <c r="EV86" t="e">
        <f>AND(#REF!,"AAAAAHn07pc=")</f>
        <v>#REF!</v>
      </c>
      <c r="EW86" t="e">
        <f>AND(#REF!,"AAAAAHn07pg=")</f>
        <v>#REF!</v>
      </c>
      <c r="EX86" t="e">
        <f>AND(#REF!,"AAAAAHn07pk=")</f>
        <v>#REF!</v>
      </c>
      <c r="EY86" t="e">
        <f>AND(#REF!,"AAAAAHn07po=")</f>
        <v>#REF!</v>
      </c>
      <c r="EZ86" t="e">
        <f>AND(#REF!,"AAAAAHn07ps=")</f>
        <v>#REF!</v>
      </c>
      <c r="FA86" t="e">
        <f>AND(#REF!,"AAAAAHn07pw=")</f>
        <v>#REF!</v>
      </c>
      <c r="FB86" t="e">
        <f>AND(#REF!,"AAAAAHn07p0=")</f>
        <v>#REF!</v>
      </c>
      <c r="FC86" t="e">
        <f>AND(#REF!,"AAAAAHn07p4=")</f>
        <v>#REF!</v>
      </c>
      <c r="FD86" t="e">
        <f>AND(#REF!,"AAAAAHn07p8=")</f>
        <v>#REF!</v>
      </c>
      <c r="FE86" t="e">
        <f>AND(#REF!,"AAAAAHn07qA=")</f>
        <v>#REF!</v>
      </c>
      <c r="FF86" t="e">
        <f>AND(#REF!,"AAAAAHn07qE=")</f>
        <v>#REF!</v>
      </c>
      <c r="FG86" t="e">
        <f>AND(#REF!,"AAAAAHn07qI=")</f>
        <v>#REF!</v>
      </c>
      <c r="FH86" t="e">
        <f>AND(#REF!,"AAAAAHn07qM=")</f>
        <v>#REF!</v>
      </c>
      <c r="FI86" t="e">
        <f>AND(#REF!,"AAAAAHn07qQ=")</f>
        <v>#REF!</v>
      </c>
      <c r="FJ86" t="e">
        <f>AND(#REF!,"AAAAAHn07qU=")</f>
        <v>#REF!</v>
      </c>
      <c r="FK86" t="e">
        <f>AND(#REF!,"AAAAAHn07qY=")</f>
        <v>#REF!</v>
      </c>
      <c r="FL86" t="e">
        <f>AND(#REF!,"AAAAAHn07qc=")</f>
        <v>#REF!</v>
      </c>
      <c r="FM86" t="e">
        <f>AND(#REF!,"AAAAAHn07qg=")</f>
        <v>#REF!</v>
      </c>
      <c r="FN86" t="e">
        <f>AND(#REF!,"AAAAAHn07qk=")</f>
        <v>#REF!</v>
      </c>
      <c r="FO86" t="e">
        <f>AND(#REF!,"AAAAAHn07qo=")</f>
        <v>#REF!</v>
      </c>
      <c r="FP86" t="e">
        <f>AND(#REF!,"AAAAAHn07qs=")</f>
        <v>#REF!</v>
      </c>
      <c r="FQ86" t="e">
        <f>AND(#REF!,"AAAAAHn07qw=")</f>
        <v>#REF!</v>
      </c>
      <c r="FR86" t="e">
        <f>IF(#REF!,"AAAAAHn07q0=",0)</f>
        <v>#REF!</v>
      </c>
      <c r="FS86" t="e">
        <f>AND(#REF!,"AAAAAHn07q4=")</f>
        <v>#REF!</v>
      </c>
      <c r="FT86" t="e">
        <f>AND(#REF!,"AAAAAHn07q8=")</f>
        <v>#REF!</v>
      </c>
      <c r="FU86" t="e">
        <f>AND(#REF!,"AAAAAHn07rA=")</f>
        <v>#REF!</v>
      </c>
      <c r="FV86" t="e">
        <f>AND(#REF!,"AAAAAHn07rE=")</f>
        <v>#REF!</v>
      </c>
      <c r="FW86" t="e">
        <f>AND(#REF!,"AAAAAHn07rI=")</f>
        <v>#REF!</v>
      </c>
      <c r="FX86" t="e">
        <f>AND(#REF!,"AAAAAHn07rM=")</f>
        <v>#REF!</v>
      </c>
      <c r="FY86" t="e">
        <f>AND(#REF!,"AAAAAHn07rQ=")</f>
        <v>#REF!</v>
      </c>
      <c r="FZ86" t="e">
        <f>AND(#REF!,"AAAAAHn07rU=")</f>
        <v>#REF!</v>
      </c>
      <c r="GA86" t="e">
        <f>AND(#REF!,"AAAAAHn07rY=")</f>
        <v>#REF!</v>
      </c>
      <c r="GB86" t="e">
        <f>AND(#REF!,"AAAAAHn07rc=")</f>
        <v>#REF!</v>
      </c>
      <c r="GC86" t="e">
        <f>AND(#REF!,"AAAAAHn07rg=")</f>
        <v>#REF!</v>
      </c>
      <c r="GD86" t="e">
        <f>AND(#REF!,"AAAAAHn07rk=")</f>
        <v>#REF!</v>
      </c>
      <c r="GE86" t="e">
        <f>AND(#REF!,"AAAAAHn07ro=")</f>
        <v>#REF!</v>
      </c>
      <c r="GF86" t="e">
        <f>AND(#REF!,"AAAAAHn07rs=")</f>
        <v>#REF!</v>
      </c>
      <c r="GG86" t="e">
        <f>AND(#REF!,"AAAAAHn07rw=")</f>
        <v>#REF!</v>
      </c>
      <c r="GH86" t="e">
        <f>AND(#REF!,"AAAAAHn07r0=")</f>
        <v>#REF!</v>
      </c>
      <c r="GI86" t="e">
        <f>AND(#REF!,"AAAAAHn07r4=")</f>
        <v>#REF!</v>
      </c>
      <c r="GJ86" t="e">
        <f>AND(#REF!,"AAAAAHn07r8=")</f>
        <v>#REF!</v>
      </c>
      <c r="GK86" t="e">
        <f>AND(#REF!,"AAAAAHn07sA=")</f>
        <v>#REF!</v>
      </c>
      <c r="GL86" t="e">
        <f>AND(#REF!,"AAAAAHn07sE=")</f>
        <v>#REF!</v>
      </c>
      <c r="GM86" t="e">
        <f>AND(#REF!,"AAAAAHn07sI=")</f>
        <v>#REF!</v>
      </c>
      <c r="GN86" t="e">
        <f>AND(#REF!,"AAAAAHn07sM=")</f>
        <v>#REF!</v>
      </c>
      <c r="GO86" t="e">
        <f>AND(#REF!,"AAAAAHn07sQ=")</f>
        <v>#REF!</v>
      </c>
      <c r="GP86" t="e">
        <f>AND(#REF!,"AAAAAHn07sU=")</f>
        <v>#REF!</v>
      </c>
      <c r="GQ86" t="e">
        <f>AND(#REF!,"AAAAAHn07sY=")</f>
        <v>#REF!</v>
      </c>
      <c r="GR86" t="e">
        <f>AND(#REF!,"AAAAAHn07sc=")</f>
        <v>#REF!</v>
      </c>
      <c r="GS86" t="e">
        <f>AND(#REF!,"AAAAAHn07sg=")</f>
        <v>#REF!</v>
      </c>
      <c r="GT86" t="e">
        <f>AND(#REF!,"AAAAAHn07sk=")</f>
        <v>#REF!</v>
      </c>
      <c r="GU86" t="e">
        <f>AND(#REF!,"AAAAAHn07so=")</f>
        <v>#REF!</v>
      </c>
      <c r="GV86" t="e">
        <f>AND(#REF!,"AAAAAHn07ss=")</f>
        <v>#REF!</v>
      </c>
      <c r="GW86" t="e">
        <f>AND(#REF!,"AAAAAHn07sw=")</f>
        <v>#REF!</v>
      </c>
      <c r="GX86" t="e">
        <f>AND(#REF!,"AAAAAHn07s0=")</f>
        <v>#REF!</v>
      </c>
      <c r="GY86" t="e">
        <f>AND(#REF!,"AAAAAHn07s4=")</f>
        <v>#REF!</v>
      </c>
      <c r="GZ86" t="e">
        <f>AND(#REF!,"AAAAAHn07s8=")</f>
        <v>#REF!</v>
      </c>
      <c r="HA86" t="e">
        <f>AND(#REF!,"AAAAAHn07tA=")</f>
        <v>#REF!</v>
      </c>
      <c r="HB86" t="e">
        <f>AND(#REF!,"AAAAAHn07tE=")</f>
        <v>#REF!</v>
      </c>
      <c r="HC86" t="e">
        <f>AND(#REF!,"AAAAAHn07tI=")</f>
        <v>#REF!</v>
      </c>
      <c r="HD86" t="e">
        <f>AND(#REF!,"AAAAAHn07tM=")</f>
        <v>#REF!</v>
      </c>
      <c r="HE86" t="e">
        <f>AND(#REF!,"AAAAAHn07tQ=")</f>
        <v>#REF!</v>
      </c>
      <c r="HF86" t="e">
        <f>AND(#REF!,"AAAAAHn07tU=")</f>
        <v>#REF!</v>
      </c>
      <c r="HG86" t="e">
        <f>AND(#REF!,"AAAAAHn07tY=")</f>
        <v>#REF!</v>
      </c>
      <c r="HH86" t="e">
        <f>IF(#REF!,"AAAAAHn07tc=",0)</f>
        <v>#REF!</v>
      </c>
      <c r="HI86" t="e">
        <f>AND(#REF!,"AAAAAHn07tg=")</f>
        <v>#REF!</v>
      </c>
      <c r="HJ86" t="e">
        <f>AND(#REF!,"AAAAAHn07tk=")</f>
        <v>#REF!</v>
      </c>
      <c r="HK86" t="e">
        <f>AND(#REF!,"AAAAAHn07to=")</f>
        <v>#REF!</v>
      </c>
      <c r="HL86" t="e">
        <f>AND(#REF!,"AAAAAHn07ts=")</f>
        <v>#REF!</v>
      </c>
      <c r="HM86" t="e">
        <f>AND(#REF!,"AAAAAHn07tw=")</f>
        <v>#REF!</v>
      </c>
      <c r="HN86" t="e">
        <f>AND(#REF!,"AAAAAHn07t0=")</f>
        <v>#REF!</v>
      </c>
      <c r="HO86" t="e">
        <f>AND(#REF!,"AAAAAHn07t4=")</f>
        <v>#REF!</v>
      </c>
      <c r="HP86" t="e">
        <f>AND(#REF!,"AAAAAHn07t8=")</f>
        <v>#REF!</v>
      </c>
      <c r="HQ86" t="e">
        <f>AND(#REF!,"AAAAAHn07uA=")</f>
        <v>#REF!</v>
      </c>
      <c r="HR86" t="e">
        <f>AND(#REF!,"AAAAAHn07uE=")</f>
        <v>#REF!</v>
      </c>
      <c r="HS86" t="e">
        <f>AND(#REF!,"AAAAAHn07uI=")</f>
        <v>#REF!</v>
      </c>
      <c r="HT86" t="e">
        <f>AND(#REF!,"AAAAAHn07uM=")</f>
        <v>#REF!</v>
      </c>
      <c r="HU86" t="e">
        <f>AND(#REF!,"AAAAAHn07uQ=")</f>
        <v>#REF!</v>
      </c>
      <c r="HV86" t="e">
        <f>AND(#REF!,"AAAAAHn07uU=")</f>
        <v>#REF!</v>
      </c>
      <c r="HW86" t="e">
        <f>AND(#REF!,"AAAAAHn07uY=")</f>
        <v>#REF!</v>
      </c>
      <c r="HX86" t="e">
        <f>AND(#REF!,"AAAAAHn07uc=")</f>
        <v>#REF!</v>
      </c>
      <c r="HY86" t="e">
        <f>AND(#REF!,"AAAAAHn07ug=")</f>
        <v>#REF!</v>
      </c>
      <c r="HZ86" t="e">
        <f>AND(#REF!,"AAAAAHn07uk=")</f>
        <v>#REF!</v>
      </c>
      <c r="IA86" t="e">
        <f>AND(#REF!,"AAAAAHn07uo=")</f>
        <v>#REF!</v>
      </c>
      <c r="IB86" t="e">
        <f>AND(#REF!,"AAAAAHn07us=")</f>
        <v>#REF!</v>
      </c>
      <c r="IC86" t="e">
        <f>AND(#REF!,"AAAAAHn07uw=")</f>
        <v>#REF!</v>
      </c>
      <c r="ID86" t="e">
        <f>AND(#REF!,"AAAAAHn07u0=")</f>
        <v>#REF!</v>
      </c>
      <c r="IE86" t="e">
        <f>AND(#REF!,"AAAAAHn07u4=")</f>
        <v>#REF!</v>
      </c>
      <c r="IF86" t="e">
        <f>AND(#REF!,"AAAAAHn07u8=")</f>
        <v>#REF!</v>
      </c>
      <c r="IG86" t="e">
        <f>AND(#REF!,"AAAAAHn07vA=")</f>
        <v>#REF!</v>
      </c>
      <c r="IH86" t="e">
        <f>AND(#REF!,"AAAAAHn07vE=")</f>
        <v>#REF!</v>
      </c>
      <c r="II86" t="e">
        <f>AND(#REF!,"AAAAAHn07vI=")</f>
        <v>#REF!</v>
      </c>
      <c r="IJ86" t="e">
        <f>AND(#REF!,"AAAAAHn07vM=")</f>
        <v>#REF!</v>
      </c>
      <c r="IK86" t="e">
        <f>AND(#REF!,"AAAAAHn07vQ=")</f>
        <v>#REF!</v>
      </c>
      <c r="IL86" t="e">
        <f>AND(#REF!,"AAAAAHn07vU=")</f>
        <v>#REF!</v>
      </c>
      <c r="IM86" t="e">
        <f>AND(#REF!,"AAAAAHn07vY=")</f>
        <v>#REF!</v>
      </c>
      <c r="IN86" t="e">
        <f>AND(#REF!,"AAAAAHn07vc=")</f>
        <v>#REF!</v>
      </c>
      <c r="IO86" t="e">
        <f>AND(#REF!,"AAAAAHn07vg=")</f>
        <v>#REF!</v>
      </c>
      <c r="IP86" t="e">
        <f>AND(#REF!,"AAAAAHn07vk=")</f>
        <v>#REF!</v>
      </c>
      <c r="IQ86" t="e">
        <f>AND(#REF!,"AAAAAHn07vo=")</f>
        <v>#REF!</v>
      </c>
      <c r="IR86" t="e">
        <f>AND(#REF!,"AAAAAHn07vs=")</f>
        <v>#REF!</v>
      </c>
      <c r="IS86" t="e">
        <f>AND(#REF!,"AAAAAHn07vw=")</f>
        <v>#REF!</v>
      </c>
      <c r="IT86" t="e">
        <f>AND(#REF!,"AAAAAHn07v0=")</f>
        <v>#REF!</v>
      </c>
      <c r="IU86" t="e">
        <f>AND(#REF!,"AAAAAHn07v4=")</f>
        <v>#REF!</v>
      </c>
      <c r="IV86" t="e">
        <f>AND(#REF!,"AAAAAHn07v8=")</f>
        <v>#REF!</v>
      </c>
    </row>
    <row r="87" spans="1:256">
      <c r="A87" t="e">
        <f>AND(#REF!,"AAAAAG7SDwA=")</f>
        <v>#REF!</v>
      </c>
      <c r="B87" t="e">
        <f>IF(#REF!,"AAAAAG7SDwE=",0)</f>
        <v>#REF!</v>
      </c>
      <c r="C87" t="e">
        <f>AND(#REF!,"AAAAAG7SDwI=")</f>
        <v>#REF!</v>
      </c>
      <c r="D87" t="e">
        <f>AND(#REF!,"AAAAAG7SDwM=")</f>
        <v>#REF!</v>
      </c>
      <c r="E87" t="e">
        <f>AND(#REF!,"AAAAAG7SDwQ=")</f>
        <v>#REF!</v>
      </c>
      <c r="F87" t="e">
        <f>AND(#REF!,"AAAAAG7SDwU=")</f>
        <v>#REF!</v>
      </c>
      <c r="G87" t="e">
        <f>AND(#REF!,"AAAAAG7SDwY=")</f>
        <v>#REF!</v>
      </c>
      <c r="H87" t="e">
        <f>AND(#REF!,"AAAAAG7SDwc=")</f>
        <v>#REF!</v>
      </c>
      <c r="I87" t="e">
        <f>AND(#REF!,"AAAAAG7SDwg=")</f>
        <v>#REF!</v>
      </c>
      <c r="J87" t="e">
        <f>AND(#REF!,"AAAAAG7SDwk=")</f>
        <v>#REF!</v>
      </c>
      <c r="K87" t="e">
        <f>AND(#REF!,"AAAAAG7SDwo=")</f>
        <v>#REF!</v>
      </c>
      <c r="L87" t="e">
        <f>AND(#REF!,"AAAAAG7SDws=")</f>
        <v>#REF!</v>
      </c>
      <c r="M87" t="e">
        <f>AND(#REF!,"AAAAAG7SDww=")</f>
        <v>#REF!</v>
      </c>
      <c r="N87" t="e">
        <f>AND(#REF!,"AAAAAG7SDw0=")</f>
        <v>#REF!</v>
      </c>
      <c r="O87" t="e">
        <f>AND(#REF!,"AAAAAG7SDw4=")</f>
        <v>#REF!</v>
      </c>
      <c r="P87" t="e">
        <f>AND(#REF!,"AAAAAG7SDw8=")</f>
        <v>#REF!</v>
      </c>
      <c r="Q87" t="e">
        <f>AND(#REF!,"AAAAAG7SDxA=")</f>
        <v>#REF!</v>
      </c>
      <c r="R87" t="e">
        <f>AND(#REF!,"AAAAAG7SDxE=")</f>
        <v>#REF!</v>
      </c>
      <c r="S87" t="e">
        <f>AND(#REF!,"AAAAAG7SDxI=")</f>
        <v>#REF!</v>
      </c>
      <c r="T87" t="e">
        <f>AND(#REF!,"AAAAAG7SDxM=")</f>
        <v>#REF!</v>
      </c>
      <c r="U87" t="e">
        <f>AND(#REF!,"AAAAAG7SDxQ=")</f>
        <v>#REF!</v>
      </c>
      <c r="V87" t="e">
        <f>AND(#REF!,"AAAAAG7SDxU=")</f>
        <v>#REF!</v>
      </c>
      <c r="W87" t="e">
        <f>AND(#REF!,"AAAAAG7SDxY=")</f>
        <v>#REF!</v>
      </c>
      <c r="X87" t="e">
        <f>AND(#REF!,"AAAAAG7SDxc=")</f>
        <v>#REF!</v>
      </c>
      <c r="Y87" t="e">
        <f>AND(#REF!,"AAAAAG7SDxg=")</f>
        <v>#REF!</v>
      </c>
      <c r="Z87" t="e">
        <f>AND(#REF!,"AAAAAG7SDxk=")</f>
        <v>#REF!</v>
      </c>
      <c r="AA87" t="e">
        <f>AND(#REF!,"AAAAAG7SDxo=")</f>
        <v>#REF!</v>
      </c>
      <c r="AB87" t="e">
        <f>AND(#REF!,"AAAAAG7SDxs=")</f>
        <v>#REF!</v>
      </c>
      <c r="AC87" t="e">
        <f>AND(#REF!,"AAAAAG7SDxw=")</f>
        <v>#REF!</v>
      </c>
      <c r="AD87" t="e">
        <f>AND(#REF!,"AAAAAG7SDx0=")</f>
        <v>#REF!</v>
      </c>
      <c r="AE87" t="e">
        <f>AND(#REF!,"AAAAAG7SDx4=")</f>
        <v>#REF!</v>
      </c>
      <c r="AF87" t="e">
        <f>AND(#REF!,"AAAAAG7SDx8=")</f>
        <v>#REF!</v>
      </c>
      <c r="AG87" t="e">
        <f>AND(#REF!,"AAAAAG7SDyA=")</f>
        <v>#REF!</v>
      </c>
      <c r="AH87" t="e">
        <f>AND(#REF!,"AAAAAG7SDyE=")</f>
        <v>#REF!</v>
      </c>
      <c r="AI87" t="e">
        <f>AND(#REF!,"AAAAAG7SDyI=")</f>
        <v>#REF!</v>
      </c>
      <c r="AJ87" t="e">
        <f>AND(#REF!,"AAAAAG7SDyM=")</f>
        <v>#REF!</v>
      </c>
      <c r="AK87" t="e">
        <f>AND(#REF!,"AAAAAG7SDyQ=")</f>
        <v>#REF!</v>
      </c>
      <c r="AL87" t="e">
        <f>AND(#REF!,"AAAAAG7SDyU=")</f>
        <v>#REF!</v>
      </c>
      <c r="AM87" t="e">
        <f>AND(#REF!,"AAAAAG7SDyY=")</f>
        <v>#REF!</v>
      </c>
      <c r="AN87" t="e">
        <f>AND(#REF!,"AAAAAG7SDyc=")</f>
        <v>#REF!</v>
      </c>
      <c r="AO87" t="e">
        <f>AND(#REF!,"AAAAAG7SDyg=")</f>
        <v>#REF!</v>
      </c>
      <c r="AP87" t="e">
        <f>AND(#REF!,"AAAAAG7SDyk=")</f>
        <v>#REF!</v>
      </c>
      <c r="AQ87" t="e">
        <f>AND(#REF!,"AAAAAG7SDyo=")</f>
        <v>#REF!</v>
      </c>
      <c r="AR87" t="e">
        <f>IF(#REF!,"AAAAAG7SDys=",0)</f>
        <v>#REF!</v>
      </c>
      <c r="AS87" t="e">
        <f>AND(#REF!,"AAAAAG7SDyw=")</f>
        <v>#REF!</v>
      </c>
      <c r="AT87" t="e">
        <f>AND(#REF!,"AAAAAG7SDy0=")</f>
        <v>#REF!</v>
      </c>
      <c r="AU87" t="e">
        <f>AND(#REF!,"AAAAAG7SDy4=")</f>
        <v>#REF!</v>
      </c>
      <c r="AV87" t="e">
        <f>AND(#REF!,"AAAAAG7SDy8=")</f>
        <v>#REF!</v>
      </c>
      <c r="AW87" t="e">
        <f>AND(#REF!,"AAAAAG7SDzA=")</f>
        <v>#REF!</v>
      </c>
      <c r="AX87" t="e">
        <f>AND(#REF!,"AAAAAG7SDzE=")</f>
        <v>#REF!</v>
      </c>
      <c r="AY87" t="e">
        <f>AND(#REF!,"AAAAAG7SDzI=")</f>
        <v>#REF!</v>
      </c>
      <c r="AZ87" t="e">
        <f>AND(#REF!,"AAAAAG7SDzM=")</f>
        <v>#REF!</v>
      </c>
      <c r="BA87" t="e">
        <f>AND(#REF!,"AAAAAG7SDzQ=")</f>
        <v>#REF!</v>
      </c>
      <c r="BB87" t="e">
        <f>AND(#REF!,"AAAAAG7SDzU=")</f>
        <v>#REF!</v>
      </c>
      <c r="BC87" t="e">
        <f>AND(#REF!,"AAAAAG7SDzY=")</f>
        <v>#REF!</v>
      </c>
      <c r="BD87" t="e">
        <f>AND(#REF!,"AAAAAG7SDzc=")</f>
        <v>#REF!</v>
      </c>
      <c r="BE87" t="e">
        <f>AND(#REF!,"AAAAAG7SDzg=")</f>
        <v>#REF!</v>
      </c>
      <c r="BF87" t="e">
        <f>AND(#REF!,"AAAAAG7SDzk=")</f>
        <v>#REF!</v>
      </c>
      <c r="BG87" t="e">
        <f>AND(#REF!,"AAAAAG7SDzo=")</f>
        <v>#REF!</v>
      </c>
      <c r="BH87" t="e">
        <f>AND(#REF!,"AAAAAG7SDzs=")</f>
        <v>#REF!</v>
      </c>
      <c r="BI87" t="e">
        <f>AND(#REF!,"AAAAAG7SDzw=")</f>
        <v>#REF!</v>
      </c>
      <c r="BJ87" t="e">
        <f>AND(#REF!,"AAAAAG7SDz0=")</f>
        <v>#REF!</v>
      </c>
      <c r="BK87" t="e">
        <f>AND(#REF!,"AAAAAG7SDz4=")</f>
        <v>#REF!</v>
      </c>
      <c r="BL87" t="e">
        <f>AND(#REF!,"AAAAAG7SDz8=")</f>
        <v>#REF!</v>
      </c>
      <c r="BM87" t="e">
        <f>AND(#REF!,"AAAAAG7SD0A=")</f>
        <v>#REF!</v>
      </c>
      <c r="BN87" t="e">
        <f>AND(#REF!,"AAAAAG7SD0E=")</f>
        <v>#REF!</v>
      </c>
      <c r="BO87" t="e">
        <f>AND(#REF!,"AAAAAG7SD0I=")</f>
        <v>#REF!</v>
      </c>
      <c r="BP87" t="e">
        <f>AND(#REF!,"AAAAAG7SD0M=")</f>
        <v>#REF!</v>
      </c>
      <c r="BQ87" t="e">
        <f>AND(#REF!,"AAAAAG7SD0Q=")</f>
        <v>#REF!</v>
      </c>
      <c r="BR87" t="e">
        <f>AND(#REF!,"AAAAAG7SD0U=")</f>
        <v>#REF!</v>
      </c>
      <c r="BS87" t="e">
        <f>AND(#REF!,"AAAAAG7SD0Y=")</f>
        <v>#REF!</v>
      </c>
      <c r="BT87" t="e">
        <f>AND(#REF!,"AAAAAG7SD0c=")</f>
        <v>#REF!</v>
      </c>
      <c r="BU87" t="e">
        <f>AND(#REF!,"AAAAAG7SD0g=")</f>
        <v>#REF!</v>
      </c>
      <c r="BV87" t="e">
        <f>AND(#REF!,"AAAAAG7SD0k=")</f>
        <v>#REF!</v>
      </c>
      <c r="BW87" t="e">
        <f>AND(#REF!,"AAAAAG7SD0o=")</f>
        <v>#REF!</v>
      </c>
      <c r="BX87" t="e">
        <f>AND(#REF!,"AAAAAG7SD0s=")</f>
        <v>#REF!</v>
      </c>
      <c r="BY87" t="e">
        <f>AND(#REF!,"AAAAAG7SD0w=")</f>
        <v>#REF!</v>
      </c>
      <c r="BZ87" t="e">
        <f>AND(#REF!,"AAAAAG7SD00=")</f>
        <v>#REF!</v>
      </c>
      <c r="CA87" t="e">
        <f>AND(#REF!,"AAAAAG7SD04=")</f>
        <v>#REF!</v>
      </c>
      <c r="CB87" t="e">
        <f>AND(#REF!,"AAAAAG7SD08=")</f>
        <v>#REF!</v>
      </c>
      <c r="CC87" t="e">
        <f>AND(#REF!,"AAAAAG7SD1A=")</f>
        <v>#REF!</v>
      </c>
      <c r="CD87" t="e">
        <f>AND(#REF!,"AAAAAG7SD1E=")</f>
        <v>#REF!</v>
      </c>
      <c r="CE87" t="e">
        <f>AND(#REF!,"AAAAAG7SD1I=")</f>
        <v>#REF!</v>
      </c>
      <c r="CF87" t="e">
        <f>AND(#REF!,"AAAAAG7SD1M=")</f>
        <v>#REF!</v>
      </c>
      <c r="CG87" t="e">
        <f>AND(#REF!,"AAAAAG7SD1Q=")</f>
        <v>#REF!</v>
      </c>
      <c r="CH87" t="e">
        <f>IF(#REF!,"AAAAAG7SD1U=",0)</f>
        <v>#REF!</v>
      </c>
      <c r="CI87" t="e">
        <f>AND(#REF!,"AAAAAG7SD1Y=")</f>
        <v>#REF!</v>
      </c>
      <c r="CJ87" t="e">
        <f>AND(#REF!,"AAAAAG7SD1c=")</f>
        <v>#REF!</v>
      </c>
      <c r="CK87" t="e">
        <f>AND(#REF!,"AAAAAG7SD1g=")</f>
        <v>#REF!</v>
      </c>
      <c r="CL87" t="e">
        <f>AND(#REF!,"AAAAAG7SD1k=")</f>
        <v>#REF!</v>
      </c>
      <c r="CM87" t="e">
        <f>AND(#REF!,"AAAAAG7SD1o=")</f>
        <v>#REF!</v>
      </c>
      <c r="CN87" t="e">
        <f>AND(#REF!,"AAAAAG7SD1s=")</f>
        <v>#REF!</v>
      </c>
      <c r="CO87" t="e">
        <f>AND(#REF!,"AAAAAG7SD1w=")</f>
        <v>#REF!</v>
      </c>
      <c r="CP87" t="e">
        <f>AND(#REF!,"AAAAAG7SD10=")</f>
        <v>#REF!</v>
      </c>
      <c r="CQ87" t="e">
        <f>AND(#REF!,"AAAAAG7SD14=")</f>
        <v>#REF!</v>
      </c>
      <c r="CR87" t="e">
        <f>AND(#REF!,"AAAAAG7SD18=")</f>
        <v>#REF!</v>
      </c>
      <c r="CS87" t="e">
        <f>AND(#REF!,"AAAAAG7SD2A=")</f>
        <v>#REF!</v>
      </c>
      <c r="CT87" t="e">
        <f>AND(#REF!,"AAAAAG7SD2E=")</f>
        <v>#REF!</v>
      </c>
      <c r="CU87" t="e">
        <f>AND(#REF!,"AAAAAG7SD2I=")</f>
        <v>#REF!</v>
      </c>
      <c r="CV87" t="e">
        <f>AND(#REF!,"AAAAAG7SD2M=")</f>
        <v>#REF!</v>
      </c>
      <c r="CW87" t="e">
        <f>AND(#REF!,"AAAAAG7SD2Q=")</f>
        <v>#REF!</v>
      </c>
      <c r="CX87" t="e">
        <f>AND(#REF!,"AAAAAG7SD2U=")</f>
        <v>#REF!</v>
      </c>
      <c r="CY87" t="e">
        <f>AND(#REF!,"AAAAAG7SD2Y=")</f>
        <v>#REF!</v>
      </c>
      <c r="CZ87" t="e">
        <f>AND(#REF!,"AAAAAG7SD2c=")</f>
        <v>#REF!</v>
      </c>
      <c r="DA87" t="e">
        <f>AND(#REF!,"AAAAAG7SD2g=")</f>
        <v>#REF!</v>
      </c>
      <c r="DB87" t="e">
        <f>AND(#REF!,"AAAAAG7SD2k=")</f>
        <v>#REF!</v>
      </c>
      <c r="DC87" t="e">
        <f>AND(#REF!,"AAAAAG7SD2o=")</f>
        <v>#REF!</v>
      </c>
      <c r="DD87" t="e">
        <f>AND(#REF!,"AAAAAG7SD2s=")</f>
        <v>#REF!</v>
      </c>
      <c r="DE87" t="e">
        <f>AND(#REF!,"AAAAAG7SD2w=")</f>
        <v>#REF!</v>
      </c>
      <c r="DF87" t="e">
        <f>AND(#REF!,"AAAAAG7SD20=")</f>
        <v>#REF!</v>
      </c>
      <c r="DG87" t="e">
        <f>AND(#REF!,"AAAAAG7SD24=")</f>
        <v>#REF!</v>
      </c>
      <c r="DH87" t="e">
        <f>AND(#REF!,"AAAAAG7SD28=")</f>
        <v>#REF!</v>
      </c>
      <c r="DI87" t="e">
        <f>AND(#REF!,"AAAAAG7SD3A=")</f>
        <v>#REF!</v>
      </c>
      <c r="DJ87" t="e">
        <f>AND(#REF!,"AAAAAG7SD3E=")</f>
        <v>#REF!</v>
      </c>
      <c r="DK87" t="e">
        <f>AND(#REF!,"AAAAAG7SD3I=")</f>
        <v>#REF!</v>
      </c>
      <c r="DL87" t="e">
        <f>AND(#REF!,"AAAAAG7SD3M=")</f>
        <v>#REF!</v>
      </c>
      <c r="DM87" t="e">
        <f>AND(#REF!,"AAAAAG7SD3Q=")</f>
        <v>#REF!</v>
      </c>
      <c r="DN87" t="e">
        <f>AND(#REF!,"AAAAAG7SD3U=")</f>
        <v>#REF!</v>
      </c>
      <c r="DO87" t="e">
        <f>AND(#REF!,"AAAAAG7SD3Y=")</f>
        <v>#REF!</v>
      </c>
      <c r="DP87" t="e">
        <f>AND(#REF!,"AAAAAG7SD3c=")</f>
        <v>#REF!</v>
      </c>
      <c r="DQ87" t="e">
        <f>AND(#REF!,"AAAAAG7SD3g=")</f>
        <v>#REF!</v>
      </c>
      <c r="DR87" t="e">
        <f>AND(#REF!,"AAAAAG7SD3k=")</f>
        <v>#REF!</v>
      </c>
      <c r="DS87" t="e">
        <f>AND(#REF!,"AAAAAG7SD3o=")</f>
        <v>#REF!</v>
      </c>
      <c r="DT87" t="e">
        <f>AND(#REF!,"AAAAAG7SD3s=")</f>
        <v>#REF!</v>
      </c>
      <c r="DU87" t="e">
        <f>AND(#REF!,"AAAAAG7SD3w=")</f>
        <v>#REF!</v>
      </c>
      <c r="DV87" t="e">
        <f>AND(#REF!,"AAAAAG7SD30=")</f>
        <v>#REF!</v>
      </c>
      <c r="DW87" t="e">
        <f>AND(#REF!,"AAAAAG7SD34=")</f>
        <v>#REF!</v>
      </c>
      <c r="DX87" t="e">
        <f>IF(#REF!,"AAAAAG7SD38=",0)</f>
        <v>#REF!</v>
      </c>
      <c r="DY87" t="e">
        <f>AND(#REF!,"AAAAAG7SD4A=")</f>
        <v>#REF!</v>
      </c>
      <c r="DZ87" t="e">
        <f>AND(#REF!,"AAAAAG7SD4E=")</f>
        <v>#REF!</v>
      </c>
      <c r="EA87" t="e">
        <f>AND(#REF!,"AAAAAG7SD4I=")</f>
        <v>#REF!</v>
      </c>
      <c r="EB87" t="e">
        <f>AND(#REF!,"AAAAAG7SD4M=")</f>
        <v>#REF!</v>
      </c>
      <c r="EC87" t="e">
        <f>AND(#REF!,"AAAAAG7SD4Q=")</f>
        <v>#REF!</v>
      </c>
      <c r="ED87" t="e">
        <f>AND(#REF!,"AAAAAG7SD4U=")</f>
        <v>#REF!</v>
      </c>
      <c r="EE87" t="e">
        <f>AND(#REF!,"AAAAAG7SD4Y=")</f>
        <v>#REF!</v>
      </c>
      <c r="EF87" t="e">
        <f>AND(#REF!,"AAAAAG7SD4c=")</f>
        <v>#REF!</v>
      </c>
      <c r="EG87" t="e">
        <f>AND(#REF!,"AAAAAG7SD4g=")</f>
        <v>#REF!</v>
      </c>
      <c r="EH87" t="e">
        <f>AND(#REF!,"AAAAAG7SD4k=")</f>
        <v>#REF!</v>
      </c>
      <c r="EI87" t="e">
        <f>AND(#REF!,"AAAAAG7SD4o=")</f>
        <v>#REF!</v>
      </c>
      <c r="EJ87" t="e">
        <f>AND(#REF!,"AAAAAG7SD4s=")</f>
        <v>#REF!</v>
      </c>
      <c r="EK87" t="e">
        <f>AND(#REF!,"AAAAAG7SD4w=")</f>
        <v>#REF!</v>
      </c>
      <c r="EL87" t="e">
        <f>AND(#REF!,"AAAAAG7SD40=")</f>
        <v>#REF!</v>
      </c>
      <c r="EM87" t="e">
        <f>AND(#REF!,"AAAAAG7SD44=")</f>
        <v>#REF!</v>
      </c>
      <c r="EN87" t="e">
        <f>AND(#REF!,"AAAAAG7SD48=")</f>
        <v>#REF!</v>
      </c>
      <c r="EO87" t="e">
        <f>AND(#REF!,"AAAAAG7SD5A=")</f>
        <v>#REF!</v>
      </c>
      <c r="EP87" t="e">
        <f>AND(#REF!,"AAAAAG7SD5E=")</f>
        <v>#REF!</v>
      </c>
      <c r="EQ87" t="e">
        <f>AND(#REF!,"AAAAAG7SD5I=")</f>
        <v>#REF!</v>
      </c>
      <c r="ER87" t="e">
        <f>AND(#REF!,"AAAAAG7SD5M=")</f>
        <v>#REF!</v>
      </c>
      <c r="ES87" t="e">
        <f>AND(#REF!,"AAAAAG7SD5Q=")</f>
        <v>#REF!</v>
      </c>
      <c r="ET87" t="e">
        <f>AND(#REF!,"AAAAAG7SD5U=")</f>
        <v>#REF!</v>
      </c>
      <c r="EU87" t="e">
        <f>AND(#REF!,"AAAAAG7SD5Y=")</f>
        <v>#REF!</v>
      </c>
      <c r="EV87" t="e">
        <f>AND(#REF!,"AAAAAG7SD5c=")</f>
        <v>#REF!</v>
      </c>
      <c r="EW87" t="e">
        <f>AND(#REF!,"AAAAAG7SD5g=")</f>
        <v>#REF!</v>
      </c>
      <c r="EX87" t="e">
        <f>AND(#REF!,"AAAAAG7SD5k=")</f>
        <v>#REF!</v>
      </c>
      <c r="EY87" t="e">
        <f>AND(#REF!,"AAAAAG7SD5o=")</f>
        <v>#REF!</v>
      </c>
      <c r="EZ87" t="e">
        <f>AND(#REF!,"AAAAAG7SD5s=")</f>
        <v>#REF!</v>
      </c>
      <c r="FA87" t="e">
        <f>AND(#REF!,"AAAAAG7SD5w=")</f>
        <v>#REF!</v>
      </c>
      <c r="FB87" t="e">
        <f>AND(#REF!,"AAAAAG7SD50=")</f>
        <v>#REF!</v>
      </c>
      <c r="FC87" t="e">
        <f>AND(#REF!,"AAAAAG7SD54=")</f>
        <v>#REF!</v>
      </c>
      <c r="FD87" t="e">
        <f>AND(#REF!,"AAAAAG7SD58=")</f>
        <v>#REF!</v>
      </c>
      <c r="FE87" t="e">
        <f>AND(#REF!,"AAAAAG7SD6A=")</f>
        <v>#REF!</v>
      </c>
      <c r="FF87" t="e">
        <f>AND(#REF!,"AAAAAG7SD6E=")</f>
        <v>#REF!</v>
      </c>
      <c r="FG87" t="e">
        <f>AND(#REF!,"AAAAAG7SD6I=")</f>
        <v>#REF!</v>
      </c>
      <c r="FH87" t="e">
        <f>AND(#REF!,"AAAAAG7SD6M=")</f>
        <v>#REF!</v>
      </c>
      <c r="FI87" t="e">
        <f>AND(#REF!,"AAAAAG7SD6Q=")</f>
        <v>#REF!</v>
      </c>
      <c r="FJ87" t="e">
        <f>AND(#REF!,"AAAAAG7SD6U=")</f>
        <v>#REF!</v>
      </c>
      <c r="FK87" t="e">
        <f>AND(#REF!,"AAAAAG7SD6Y=")</f>
        <v>#REF!</v>
      </c>
      <c r="FL87" t="e">
        <f>AND(#REF!,"AAAAAG7SD6c=")</f>
        <v>#REF!</v>
      </c>
      <c r="FM87" t="e">
        <f>AND(#REF!,"AAAAAG7SD6g=")</f>
        <v>#REF!</v>
      </c>
      <c r="FN87" t="e">
        <f>IF(#REF!,"AAAAAG7SD6k=",0)</f>
        <v>#REF!</v>
      </c>
      <c r="FO87" t="e">
        <f>AND(#REF!,"AAAAAG7SD6o=")</f>
        <v>#REF!</v>
      </c>
      <c r="FP87" t="e">
        <f>AND(#REF!,"AAAAAG7SD6s=")</f>
        <v>#REF!</v>
      </c>
      <c r="FQ87" t="e">
        <f>AND(#REF!,"AAAAAG7SD6w=")</f>
        <v>#REF!</v>
      </c>
      <c r="FR87" t="e">
        <f>AND(#REF!,"AAAAAG7SD60=")</f>
        <v>#REF!</v>
      </c>
      <c r="FS87" t="e">
        <f>AND(#REF!,"AAAAAG7SD64=")</f>
        <v>#REF!</v>
      </c>
      <c r="FT87" t="e">
        <f>AND(#REF!,"AAAAAG7SD68=")</f>
        <v>#REF!</v>
      </c>
      <c r="FU87" t="e">
        <f>AND(#REF!,"AAAAAG7SD7A=")</f>
        <v>#REF!</v>
      </c>
      <c r="FV87" t="e">
        <f>AND(#REF!,"AAAAAG7SD7E=")</f>
        <v>#REF!</v>
      </c>
      <c r="FW87" t="e">
        <f>AND(#REF!,"AAAAAG7SD7I=")</f>
        <v>#REF!</v>
      </c>
      <c r="FX87" t="e">
        <f>AND(#REF!,"AAAAAG7SD7M=")</f>
        <v>#REF!</v>
      </c>
      <c r="FY87" t="e">
        <f>AND(#REF!,"AAAAAG7SD7Q=")</f>
        <v>#REF!</v>
      </c>
      <c r="FZ87" t="e">
        <f>AND(#REF!,"AAAAAG7SD7U=")</f>
        <v>#REF!</v>
      </c>
      <c r="GA87" t="e">
        <f>AND(#REF!,"AAAAAG7SD7Y=")</f>
        <v>#REF!</v>
      </c>
      <c r="GB87" t="e">
        <f>AND(#REF!,"AAAAAG7SD7c=")</f>
        <v>#REF!</v>
      </c>
      <c r="GC87" t="e">
        <f>AND(#REF!,"AAAAAG7SD7g=")</f>
        <v>#REF!</v>
      </c>
      <c r="GD87" t="e">
        <f>AND(#REF!,"AAAAAG7SD7k=")</f>
        <v>#REF!</v>
      </c>
      <c r="GE87" t="e">
        <f>AND(#REF!,"AAAAAG7SD7o=")</f>
        <v>#REF!</v>
      </c>
      <c r="GF87" t="e">
        <f>AND(#REF!,"AAAAAG7SD7s=")</f>
        <v>#REF!</v>
      </c>
      <c r="GG87" t="e">
        <f>AND(#REF!,"AAAAAG7SD7w=")</f>
        <v>#REF!</v>
      </c>
      <c r="GH87" t="e">
        <f>AND(#REF!,"AAAAAG7SD70=")</f>
        <v>#REF!</v>
      </c>
      <c r="GI87" t="e">
        <f>AND(#REF!,"AAAAAG7SD74=")</f>
        <v>#REF!</v>
      </c>
      <c r="GJ87" t="e">
        <f>AND(#REF!,"AAAAAG7SD78=")</f>
        <v>#REF!</v>
      </c>
      <c r="GK87" t="e">
        <f>AND(#REF!,"AAAAAG7SD8A=")</f>
        <v>#REF!</v>
      </c>
      <c r="GL87" t="e">
        <f>AND(#REF!,"AAAAAG7SD8E=")</f>
        <v>#REF!</v>
      </c>
      <c r="GM87" t="e">
        <f>AND(#REF!,"AAAAAG7SD8I=")</f>
        <v>#REF!</v>
      </c>
      <c r="GN87" t="e">
        <f>AND(#REF!,"AAAAAG7SD8M=")</f>
        <v>#REF!</v>
      </c>
      <c r="GO87" t="e">
        <f>AND(#REF!,"AAAAAG7SD8Q=")</f>
        <v>#REF!</v>
      </c>
      <c r="GP87" t="e">
        <f>AND(#REF!,"AAAAAG7SD8U=")</f>
        <v>#REF!</v>
      </c>
      <c r="GQ87" t="e">
        <f>AND(#REF!,"AAAAAG7SD8Y=")</f>
        <v>#REF!</v>
      </c>
      <c r="GR87" t="e">
        <f>AND(#REF!,"AAAAAG7SD8c=")</f>
        <v>#REF!</v>
      </c>
      <c r="GS87" t="e">
        <f>AND(#REF!,"AAAAAG7SD8g=")</f>
        <v>#REF!</v>
      </c>
      <c r="GT87" t="e">
        <f>AND(#REF!,"AAAAAG7SD8k=")</f>
        <v>#REF!</v>
      </c>
      <c r="GU87" t="e">
        <f>AND(#REF!,"AAAAAG7SD8o=")</f>
        <v>#REF!</v>
      </c>
      <c r="GV87" t="e">
        <f>AND(#REF!,"AAAAAG7SD8s=")</f>
        <v>#REF!</v>
      </c>
      <c r="GW87" t="e">
        <f>AND(#REF!,"AAAAAG7SD8w=")</f>
        <v>#REF!</v>
      </c>
      <c r="GX87" t="e">
        <f>AND(#REF!,"AAAAAG7SD80=")</f>
        <v>#REF!</v>
      </c>
      <c r="GY87" t="e">
        <f>AND(#REF!,"AAAAAG7SD84=")</f>
        <v>#REF!</v>
      </c>
      <c r="GZ87" t="e">
        <f>AND(#REF!,"AAAAAG7SD88=")</f>
        <v>#REF!</v>
      </c>
      <c r="HA87" t="e">
        <f>AND(#REF!,"AAAAAG7SD9A=")</f>
        <v>#REF!</v>
      </c>
      <c r="HB87" t="e">
        <f>AND(#REF!,"AAAAAG7SD9E=")</f>
        <v>#REF!</v>
      </c>
      <c r="HC87" t="e">
        <f>AND(#REF!,"AAAAAG7SD9I=")</f>
        <v>#REF!</v>
      </c>
      <c r="HD87" t="e">
        <f>IF(#REF!,"AAAAAG7SD9M=",0)</f>
        <v>#REF!</v>
      </c>
      <c r="HE87" t="e">
        <f>AND(#REF!,"AAAAAG7SD9Q=")</f>
        <v>#REF!</v>
      </c>
      <c r="HF87" t="e">
        <f>AND(#REF!,"AAAAAG7SD9U=")</f>
        <v>#REF!</v>
      </c>
      <c r="HG87" t="e">
        <f>AND(#REF!,"AAAAAG7SD9Y=")</f>
        <v>#REF!</v>
      </c>
      <c r="HH87" t="e">
        <f>AND(#REF!,"AAAAAG7SD9c=")</f>
        <v>#REF!</v>
      </c>
      <c r="HI87" t="e">
        <f>AND(#REF!,"AAAAAG7SD9g=")</f>
        <v>#REF!</v>
      </c>
      <c r="HJ87" t="e">
        <f>AND(#REF!,"AAAAAG7SD9k=")</f>
        <v>#REF!</v>
      </c>
      <c r="HK87" t="e">
        <f>AND(#REF!,"AAAAAG7SD9o=")</f>
        <v>#REF!</v>
      </c>
      <c r="HL87" t="e">
        <f>AND(#REF!,"AAAAAG7SD9s=")</f>
        <v>#REF!</v>
      </c>
      <c r="HM87" t="e">
        <f>AND(#REF!,"AAAAAG7SD9w=")</f>
        <v>#REF!</v>
      </c>
      <c r="HN87" t="e">
        <f>AND(#REF!,"AAAAAG7SD90=")</f>
        <v>#REF!</v>
      </c>
      <c r="HO87" t="e">
        <f>AND(#REF!,"AAAAAG7SD94=")</f>
        <v>#REF!</v>
      </c>
      <c r="HP87" t="e">
        <f>AND(#REF!,"AAAAAG7SD98=")</f>
        <v>#REF!</v>
      </c>
      <c r="HQ87" t="e">
        <f>AND(#REF!,"AAAAAG7SD+A=")</f>
        <v>#REF!</v>
      </c>
      <c r="HR87" t="e">
        <f>AND(#REF!,"AAAAAG7SD+E=")</f>
        <v>#REF!</v>
      </c>
      <c r="HS87" t="e">
        <f>AND(#REF!,"AAAAAG7SD+I=")</f>
        <v>#REF!</v>
      </c>
      <c r="HT87" t="e">
        <f>AND(#REF!,"AAAAAG7SD+M=")</f>
        <v>#REF!</v>
      </c>
      <c r="HU87" t="e">
        <f>AND(#REF!,"AAAAAG7SD+Q=")</f>
        <v>#REF!</v>
      </c>
      <c r="HV87" t="e">
        <f>AND(#REF!,"AAAAAG7SD+U=")</f>
        <v>#REF!</v>
      </c>
      <c r="HW87" t="e">
        <f>AND(#REF!,"AAAAAG7SD+Y=")</f>
        <v>#REF!</v>
      </c>
      <c r="HX87" t="e">
        <f>AND(#REF!,"AAAAAG7SD+c=")</f>
        <v>#REF!</v>
      </c>
      <c r="HY87" t="e">
        <f>AND(#REF!,"AAAAAG7SD+g=")</f>
        <v>#REF!</v>
      </c>
      <c r="HZ87" t="e">
        <f>AND(#REF!,"AAAAAG7SD+k=")</f>
        <v>#REF!</v>
      </c>
      <c r="IA87" t="e">
        <f>AND(#REF!,"AAAAAG7SD+o=")</f>
        <v>#REF!</v>
      </c>
      <c r="IB87" t="e">
        <f>AND(#REF!,"AAAAAG7SD+s=")</f>
        <v>#REF!</v>
      </c>
      <c r="IC87" t="e">
        <f>AND(#REF!,"AAAAAG7SD+w=")</f>
        <v>#REF!</v>
      </c>
      <c r="ID87" t="e">
        <f>AND(#REF!,"AAAAAG7SD+0=")</f>
        <v>#REF!</v>
      </c>
      <c r="IE87" t="e">
        <f>AND(#REF!,"AAAAAG7SD+4=")</f>
        <v>#REF!</v>
      </c>
      <c r="IF87" t="e">
        <f>AND(#REF!,"AAAAAG7SD+8=")</f>
        <v>#REF!</v>
      </c>
      <c r="IG87" t="e">
        <f>AND(#REF!,"AAAAAG7SD/A=")</f>
        <v>#REF!</v>
      </c>
      <c r="IH87" t="e">
        <f>AND(#REF!,"AAAAAG7SD/E=")</f>
        <v>#REF!</v>
      </c>
      <c r="II87" t="e">
        <f>AND(#REF!,"AAAAAG7SD/I=")</f>
        <v>#REF!</v>
      </c>
      <c r="IJ87" t="e">
        <f>AND(#REF!,"AAAAAG7SD/M=")</f>
        <v>#REF!</v>
      </c>
      <c r="IK87" t="e">
        <f>AND(#REF!,"AAAAAG7SD/Q=")</f>
        <v>#REF!</v>
      </c>
      <c r="IL87" t="e">
        <f>AND(#REF!,"AAAAAG7SD/U=")</f>
        <v>#REF!</v>
      </c>
      <c r="IM87" t="e">
        <f>AND(#REF!,"AAAAAG7SD/Y=")</f>
        <v>#REF!</v>
      </c>
      <c r="IN87" t="e">
        <f>AND(#REF!,"AAAAAG7SD/c=")</f>
        <v>#REF!</v>
      </c>
      <c r="IO87" t="e">
        <f>AND(#REF!,"AAAAAG7SD/g=")</f>
        <v>#REF!</v>
      </c>
      <c r="IP87" t="e">
        <f>AND(#REF!,"AAAAAG7SD/k=")</f>
        <v>#REF!</v>
      </c>
      <c r="IQ87" t="e">
        <f>AND(#REF!,"AAAAAG7SD/o=")</f>
        <v>#REF!</v>
      </c>
      <c r="IR87" t="e">
        <f>AND(#REF!,"AAAAAG7SD/s=")</f>
        <v>#REF!</v>
      </c>
      <c r="IS87" t="e">
        <f>AND(#REF!,"AAAAAG7SD/w=")</f>
        <v>#REF!</v>
      </c>
      <c r="IT87" t="e">
        <f>IF(#REF!,"AAAAAG7SD/0=",0)</f>
        <v>#REF!</v>
      </c>
      <c r="IU87" t="e">
        <f>AND(#REF!,"AAAAAG7SD/4=")</f>
        <v>#REF!</v>
      </c>
      <c r="IV87" t="e">
        <f>AND(#REF!,"AAAAAG7SD/8=")</f>
        <v>#REF!</v>
      </c>
    </row>
    <row r="88" spans="1:256">
      <c r="A88" t="e">
        <f>AND(#REF!,"AAAAAD/t7AA=")</f>
        <v>#REF!</v>
      </c>
      <c r="B88" t="e">
        <f>AND(#REF!,"AAAAAD/t7AE=")</f>
        <v>#REF!</v>
      </c>
      <c r="C88" t="e">
        <f>AND(#REF!,"AAAAAD/t7AI=")</f>
        <v>#REF!</v>
      </c>
      <c r="D88" t="e">
        <f>AND(#REF!,"AAAAAD/t7AM=")</f>
        <v>#REF!</v>
      </c>
      <c r="E88" t="e">
        <f>AND(#REF!,"AAAAAD/t7AQ=")</f>
        <v>#REF!</v>
      </c>
      <c r="F88" t="e">
        <f>AND(#REF!,"AAAAAD/t7AU=")</f>
        <v>#REF!</v>
      </c>
      <c r="G88" t="e">
        <f>AND(#REF!,"AAAAAD/t7AY=")</f>
        <v>#REF!</v>
      </c>
      <c r="H88" t="e">
        <f>AND(#REF!,"AAAAAD/t7Ac=")</f>
        <v>#REF!</v>
      </c>
      <c r="I88" t="e">
        <f>AND(#REF!,"AAAAAD/t7Ag=")</f>
        <v>#REF!</v>
      </c>
      <c r="J88" t="e">
        <f>AND(#REF!,"AAAAAD/t7Ak=")</f>
        <v>#REF!</v>
      </c>
      <c r="K88" t="e">
        <f>AND(#REF!,"AAAAAD/t7Ao=")</f>
        <v>#REF!</v>
      </c>
      <c r="L88" t="e">
        <f>AND(#REF!,"AAAAAD/t7As=")</f>
        <v>#REF!</v>
      </c>
      <c r="M88" t="e">
        <f>AND(#REF!,"AAAAAD/t7Aw=")</f>
        <v>#REF!</v>
      </c>
      <c r="N88" t="e">
        <f>AND(#REF!,"AAAAAD/t7A0=")</f>
        <v>#REF!</v>
      </c>
      <c r="O88" t="e">
        <f>AND(#REF!,"AAAAAD/t7A4=")</f>
        <v>#REF!</v>
      </c>
      <c r="P88" t="e">
        <f>AND(#REF!,"AAAAAD/t7A8=")</f>
        <v>#REF!</v>
      </c>
      <c r="Q88" t="e">
        <f>AND(#REF!,"AAAAAD/t7BA=")</f>
        <v>#REF!</v>
      </c>
      <c r="R88" t="e">
        <f>AND(#REF!,"AAAAAD/t7BE=")</f>
        <v>#REF!</v>
      </c>
      <c r="S88" t="e">
        <f>AND(#REF!,"AAAAAD/t7BI=")</f>
        <v>#REF!</v>
      </c>
      <c r="T88" t="e">
        <f>AND(#REF!,"AAAAAD/t7BM=")</f>
        <v>#REF!</v>
      </c>
      <c r="U88" t="e">
        <f>AND(#REF!,"AAAAAD/t7BQ=")</f>
        <v>#REF!</v>
      </c>
      <c r="V88" t="e">
        <f>AND(#REF!,"AAAAAD/t7BU=")</f>
        <v>#REF!</v>
      </c>
      <c r="W88" t="e">
        <f>AND(#REF!,"AAAAAD/t7BY=")</f>
        <v>#REF!</v>
      </c>
      <c r="X88" t="e">
        <f>AND(#REF!,"AAAAAD/t7Bc=")</f>
        <v>#REF!</v>
      </c>
      <c r="Y88" t="e">
        <f>AND(#REF!,"AAAAAD/t7Bg=")</f>
        <v>#REF!</v>
      </c>
      <c r="Z88" t="e">
        <f>AND(#REF!,"AAAAAD/t7Bk=")</f>
        <v>#REF!</v>
      </c>
      <c r="AA88" t="e">
        <f>AND(#REF!,"AAAAAD/t7Bo=")</f>
        <v>#REF!</v>
      </c>
      <c r="AB88" t="e">
        <f>AND(#REF!,"AAAAAD/t7Bs=")</f>
        <v>#REF!</v>
      </c>
      <c r="AC88" t="e">
        <f>AND(#REF!,"AAAAAD/t7Bw=")</f>
        <v>#REF!</v>
      </c>
      <c r="AD88" t="e">
        <f>AND(#REF!,"AAAAAD/t7B0=")</f>
        <v>#REF!</v>
      </c>
      <c r="AE88" t="e">
        <f>AND(#REF!,"AAAAAD/t7B4=")</f>
        <v>#REF!</v>
      </c>
      <c r="AF88" t="e">
        <f>AND(#REF!,"AAAAAD/t7B8=")</f>
        <v>#REF!</v>
      </c>
      <c r="AG88" t="e">
        <f>AND(#REF!,"AAAAAD/t7CA=")</f>
        <v>#REF!</v>
      </c>
      <c r="AH88" t="e">
        <f>AND(#REF!,"AAAAAD/t7CE=")</f>
        <v>#REF!</v>
      </c>
      <c r="AI88" t="e">
        <f>AND(#REF!,"AAAAAD/t7CI=")</f>
        <v>#REF!</v>
      </c>
      <c r="AJ88" t="e">
        <f>AND(#REF!,"AAAAAD/t7CM=")</f>
        <v>#REF!</v>
      </c>
      <c r="AK88" t="e">
        <f>AND(#REF!,"AAAAAD/t7CQ=")</f>
        <v>#REF!</v>
      </c>
      <c r="AL88" t="e">
        <f>AND(#REF!,"AAAAAD/t7CU=")</f>
        <v>#REF!</v>
      </c>
      <c r="AM88" t="e">
        <f>AND(#REF!,"AAAAAD/t7CY=")</f>
        <v>#REF!</v>
      </c>
      <c r="AN88" t="e">
        <f>IF(#REF!,"AAAAAD/t7Cc=",0)</f>
        <v>#REF!</v>
      </c>
      <c r="AO88" t="e">
        <f>AND(#REF!,"AAAAAD/t7Cg=")</f>
        <v>#REF!</v>
      </c>
      <c r="AP88" t="e">
        <f>AND(#REF!,"AAAAAD/t7Ck=")</f>
        <v>#REF!</v>
      </c>
      <c r="AQ88" t="e">
        <f>AND(#REF!,"AAAAAD/t7Co=")</f>
        <v>#REF!</v>
      </c>
      <c r="AR88" t="e">
        <f>AND(#REF!,"AAAAAD/t7Cs=")</f>
        <v>#REF!</v>
      </c>
      <c r="AS88" t="e">
        <f>AND(#REF!,"AAAAAD/t7Cw=")</f>
        <v>#REF!</v>
      </c>
      <c r="AT88" t="e">
        <f>AND(#REF!,"AAAAAD/t7C0=")</f>
        <v>#REF!</v>
      </c>
      <c r="AU88" t="e">
        <f>AND(#REF!,"AAAAAD/t7C4=")</f>
        <v>#REF!</v>
      </c>
      <c r="AV88" t="e">
        <f>AND(#REF!,"AAAAAD/t7C8=")</f>
        <v>#REF!</v>
      </c>
      <c r="AW88" t="e">
        <f>AND(#REF!,"AAAAAD/t7DA=")</f>
        <v>#REF!</v>
      </c>
      <c r="AX88" t="e">
        <f>AND(#REF!,"AAAAAD/t7DE=")</f>
        <v>#REF!</v>
      </c>
      <c r="AY88" t="e">
        <f>AND(#REF!,"AAAAAD/t7DI=")</f>
        <v>#REF!</v>
      </c>
      <c r="AZ88" t="e">
        <f>AND(#REF!,"AAAAAD/t7DM=")</f>
        <v>#REF!</v>
      </c>
      <c r="BA88" t="e">
        <f>AND(#REF!,"AAAAAD/t7DQ=")</f>
        <v>#REF!</v>
      </c>
      <c r="BB88" t="e">
        <f>AND(#REF!,"AAAAAD/t7DU=")</f>
        <v>#REF!</v>
      </c>
      <c r="BC88" t="e">
        <f>AND(#REF!,"AAAAAD/t7DY=")</f>
        <v>#REF!</v>
      </c>
      <c r="BD88" t="e">
        <f>AND(#REF!,"AAAAAD/t7Dc=")</f>
        <v>#REF!</v>
      </c>
      <c r="BE88" t="e">
        <f>AND(#REF!,"AAAAAD/t7Dg=")</f>
        <v>#REF!</v>
      </c>
      <c r="BF88" t="e">
        <f>AND(#REF!,"AAAAAD/t7Dk=")</f>
        <v>#REF!</v>
      </c>
      <c r="BG88" t="e">
        <f>AND(#REF!,"AAAAAD/t7Do=")</f>
        <v>#REF!</v>
      </c>
      <c r="BH88" t="e">
        <f>AND(#REF!,"AAAAAD/t7Ds=")</f>
        <v>#REF!</v>
      </c>
      <c r="BI88" t="e">
        <f>AND(#REF!,"AAAAAD/t7Dw=")</f>
        <v>#REF!</v>
      </c>
      <c r="BJ88" t="e">
        <f>AND(#REF!,"AAAAAD/t7D0=")</f>
        <v>#REF!</v>
      </c>
      <c r="BK88" t="e">
        <f>AND(#REF!,"AAAAAD/t7D4=")</f>
        <v>#REF!</v>
      </c>
      <c r="BL88" t="e">
        <f>AND(#REF!,"AAAAAD/t7D8=")</f>
        <v>#REF!</v>
      </c>
      <c r="BM88" t="e">
        <f>AND(#REF!,"AAAAAD/t7EA=")</f>
        <v>#REF!</v>
      </c>
      <c r="BN88" t="e">
        <f>AND(#REF!,"AAAAAD/t7EE=")</f>
        <v>#REF!</v>
      </c>
      <c r="BO88" t="e">
        <f>AND(#REF!,"AAAAAD/t7EI=")</f>
        <v>#REF!</v>
      </c>
      <c r="BP88" t="e">
        <f>AND(#REF!,"AAAAAD/t7EM=")</f>
        <v>#REF!</v>
      </c>
      <c r="BQ88" t="e">
        <f>AND(#REF!,"AAAAAD/t7EQ=")</f>
        <v>#REF!</v>
      </c>
      <c r="BR88" t="e">
        <f>AND(#REF!,"AAAAAD/t7EU=")</f>
        <v>#REF!</v>
      </c>
      <c r="BS88" t="e">
        <f>AND(#REF!,"AAAAAD/t7EY=")</f>
        <v>#REF!</v>
      </c>
      <c r="BT88" t="e">
        <f>AND(#REF!,"AAAAAD/t7Ec=")</f>
        <v>#REF!</v>
      </c>
      <c r="BU88" t="e">
        <f>AND(#REF!,"AAAAAD/t7Eg=")</f>
        <v>#REF!</v>
      </c>
      <c r="BV88" t="e">
        <f>AND(#REF!,"AAAAAD/t7Ek=")</f>
        <v>#REF!</v>
      </c>
      <c r="BW88" t="e">
        <f>AND(#REF!,"AAAAAD/t7Eo=")</f>
        <v>#REF!</v>
      </c>
      <c r="BX88" t="e">
        <f>AND(#REF!,"AAAAAD/t7Es=")</f>
        <v>#REF!</v>
      </c>
      <c r="BY88" t="e">
        <f>AND(#REF!,"AAAAAD/t7Ew=")</f>
        <v>#REF!</v>
      </c>
      <c r="BZ88" t="e">
        <f>AND(#REF!,"AAAAAD/t7E0=")</f>
        <v>#REF!</v>
      </c>
      <c r="CA88" t="e">
        <f>AND(#REF!,"AAAAAD/t7E4=")</f>
        <v>#REF!</v>
      </c>
      <c r="CB88" t="e">
        <f>AND(#REF!,"AAAAAD/t7E8=")</f>
        <v>#REF!</v>
      </c>
      <c r="CC88" t="e">
        <f>AND(#REF!,"AAAAAD/t7FA=")</f>
        <v>#REF!</v>
      </c>
      <c r="CD88" t="e">
        <f>IF(#REF!,"AAAAAD/t7FE=",0)</f>
        <v>#REF!</v>
      </c>
      <c r="CE88" t="e">
        <f>AND(#REF!,"AAAAAD/t7FI=")</f>
        <v>#REF!</v>
      </c>
      <c r="CF88" t="e">
        <f>AND(#REF!,"AAAAAD/t7FM=")</f>
        <v>#REF!</v>
      </c>
      <c r="CG88" t="e">
        <f>AND(#REF!,"AAAAAD/t7FQ=")</f>
        <v>#REF!</v>
      </c>
      <c r="CH88" t="e">
        <f>AND(#REF!,"AAAAAD/t7FU=")</f>
        <v>#REF!</v>
      </c>
      <c r="CI88" t="e">
        <f>AND(#REF!,"AAAAAD/t7FY=")</f>
        <v>#REF!</v>
      </c>
      <c r="CJ88" t="e">
        <f>AND(#REF!,"AAAAAD/t7Fc=")</f>
        <v>#REF!</v>
      </c>
      <c r="CK88" t="e">
        <f>AND(#REF!,"AAAAAD/t7Fg=")</f>
        <v>#REF!</v>
      </c>
      <c r="CL88" t="e">
        <f>AND(#REF!,"AAAAAD/t7Fk=")</f>
        <v>#REF!</v>
      </c>
      <c r="CM88" t="e">
        <f>AND(#REF!,"AAAAAD/t7Fo=")</f>
        <v>#REF!</v>
      </c>
      <c r="CN88" t="e">
        <f>AND(#REF!,"AAAAAD/t7Fs=")</f>
        <v>#REF!</v>
      </c>
      <c r="CO88" t="e">
        <f>AND(#REF!,"AAAAAD/t7Fw=")</f>
        <v>#REF!</v>
      </c>
      <c r="CP88" t="e">
        <f>AND(#REF!,"AAAAAD/t7F0=")</f>
        <v>#REF!</v>
      </c>
      <c r="CQ88" t="e">
        <f>AND(#REF!,"AAAAAD/t7F4=")</f>
        <v>#REF!</v>
      </c>
      <c r="CR88" t="e">
        <f>AND(#REF!,"AAAAAD/t7F8=")</f>
        <v>#REF!</v>
      </c>
      <c r="CS88" t="e">
        <f>AND(#REF!,"AAAAAD/t7GA=")</f>
        <v>#REF!</v>
      </c>
      <c r="CT88" t="e">
        <f>AND(#REF!,"AAAAAD/t7GE=")</f>
        <v>#REF!</v>
      </c>
      <c r="CU88" t="e">
        <f>AND(#REF!,"AAAAAD/t7GI=")</f>
        <v>#REF!</v>
      </c>
      <c r="CV88" t="e">
        <f>AND(#REF!,"AAAAAD/t7GM=")</f>
        <v>#REF!</v>
      </c>
      <c r="CW88" t="e">
        <f>AND(#REF!,"AAAAAD/t7GQ=")</f>
        <v>#REF!</v>
      </c>
      <c r="CX88" t="e">
        <f>AND(#REF!,"AAAAAD/t7GU=")</f>
        <v>#REF!</v>
      </c>
      <c r="CY88" t="e">
        <f>AND(#REF!,"AAAAAD/t7GY=")</f>
        <v>#REF!</v>
      </c>
      <c r="CZ88" t="e">
        <f>AND(#REF!,"AAAAAD/t7Gc=")</f>
        <v>#REF!</v>
      </c>
      <c r="DA88" t="e">
        <f>AND(#REF!,"AAAAAD/t7Gg=")</f>
        <v>#REF!</v>
      </c>
      <c r="DB88" t="e">
        <f>AND(#REF!,"AAAAAD/t7Gk=")</f>
        <v>#REF!</v>
      </c>
      <c r="DC88" t="e">
        <f>AND(#REF!,"AAAAAD/t7Go=")</f>
        <v>#REF!</v>
      </c>
      <c r="DD88" t="e">
        <f>AND(#REF!,"AAAAAD/t7Gs=")</f>
        <v>#REF!</v>
      </c>
      <c r="DE88" t="e">
        <f>AND(#REF!,"AAAAAD/t7Gw=")</f>
        <v>#REF!</v>
      </c>
      <c r="DF88" t="e">
        <f>AND(#REF!,"AAAAAD/t7G0=")</f>
        <v>#REF!</v>
      </c>
      <c r="DG88" t="e">
        <f>AND(#REF!,"AAAAAD/t7G4=")</f>
        <v>#REF!</v>
      </c>
      <c r="DH88" t="e">
        <f>AND(#REF!,"AAAAAD/t7G8=")</f>
        <v>#REF!</v>
      </c>
      <c r="DI88" t="e">
        <f>AND(#REF!,"AAAAAD/t7HA=")</f>
        <v>#REF!</v>
      </c>
      <c r="DJ88" t="e">
        <f>AND(#REF!,"AAAAAD/t7HE=")</f>
        <v>#REF!</v>
      </c>
      <c r="DK88" t="e">
        <f>AND(#REF!,"AAAAAD/t7HI=")</f>
        <v>#REF!</v>
      </c>
      <c r="DL88" t="e">
        <f>AND(#REF!,"AAAAAD/t7HM=")</f>
        <v>#REF!</v>
      </c>
      <c r="DM88" t="e">
        <f>AND(#REF!,"AAAAAD/t7HQ=")</f>
        <v>#REF!</v>
      </c>
      <c r="DN88" t="e">
        <f>AND(#REF!,"AAAAAD/t7HU=")</f>
        <v>#REF!</v>
      </c>
      <c r="DO88" t="e">
        <f>AND(#REF!,"AAAAAD/t7HY=")</f>
        <v>#REF!</v>
      </c>
      <c r="DP88" t="e">
        <f>AND(#REF!,"AAAAAD/t7Hc=")</f>
        <v>#REF!</v>
      </c>
      <c r="DQ88" t="e">
        <f>AND(#REF!,"AAAAAD/t7Hg=")</f>
        <v>#REF!</v>
      </c>
      <c r="DR88" t="e">
        <f>AND(#REF!,"AAAAAD/t7Hk=")</f>
        <v>#REF!</v>
      </c>
      <c r="DS88" t="e">
        <f>AND(#REF!,"AAAAAD/t7Ho=")</f>
        <v>#REF!</v>
      </c>
      <c r="DT88" t="e">
        <f>IF(#REF!,"AAAAAD/t7Hs=",0)</f>
        <v>#REF!</v>
      </c>
      <c r="DU88" t="e">
        <f>AND(#REF!,"AAAAAD/t7Hw=")</f>
        <v>#REF!</v>
      </c>
      <c r="DV88" t="e">
        <f>AND(#REF!,"AAAAAD/t7H0=")</f>
        <v>#REF!</v>
      </c>
      <c r="DW88" t="e">
        <f>AND(#REF!,"AAAAAD/t7H4=")</f>
        <v>#REF!</v>
      </c>
      <c r="DX88" t="e">
        <f>AND(#REF!,"AAAAAD/t7H8=")</f>
        <v>#REF!</v>
      </c>
      <c r="DY88" t="e">
        <f>AND(#REF!,"AAAAAD/t7IA=")</f>
        <v>#REF!</v>
      </c>
      <c r="DZ88" t="e">
        <f>AND(#REF!,"AAAAAD/t7IE=")</f>
        <v>#REF!</v>
      </c>
      <c r="EA88" t="e">
        <f>AND(#REF!,"AAAAAD/t7II=")</f>
        <v>#REF!</v>
      </c>
      <c r="EB88" t="e">
        <f>AND(#REF!,"AAAAAD/t7IM=")</f>
        <v>#REF!</v>
      </c>
      <c r="EC88" t="e">
        <f>AND(#REF!,"AAAAAD/t7IQ=")</f>
        <v>#REF!</v>
      </c>
      <c r="ED88" t="e">
        <f>AND(#REF!,"AAAAAD/t7IU=")</f>
        <v>#REF!</v>
      </c>
      <c r="EE88" t="e">
        <f>AND(#REF!,"AAAAAD/t7IY=")</f>
        <v>#REF!</v>
      </c>
      <c r="EF88" t="e">
        <f>AND(#REF!,"AAAAAD/t7Ic=")</f>
        <v>#REF!</v>
      </c>
      <c r="EG88" t="e">
        <f>AND(#REF!,"AAAAAD/t7Ig=")</f>
        <v>#REF!</v>
      </c>
      <c r="EH88" t="e">
        <f>AND(#REF!,"AAAAAD/t7Ik=")</f>
        <v>#REF!</v>
      </c>
      <c r="EI88" t="e">
        <f>AND(#REF!,"AAAAAD/t7Io=")</f>
        <v>#REF!</v>
      </c>
      <c r="EJ88" t="e">
        <f>AND(#REF!,"AAAAAD/t7Is=")</f>
        <v>#REF!</v>
      </c>
      <c r="EK88" t="e">
        <f>AND(#REF!,"AAAAAD/t7Iw=")</f>
        <v>#REF!</v>
      </c>
      <c r="EL88" t="e">
        <f>AND(#REF!,"AAAAAD/t7I0=")</f>
        <v>#REF!</v>
      </c>
      <c r="EM88" t="e">
        <f>AND(#REF!,"AAAAAD/t7I4=")</f>
        <v>#REF!</v>
      </c>
      <c r="EN88" t="e">
        <f>AND(#REF!,"AAAAAD/t7I8=")</f>
        <v>#REF!</v>
      </c>
      <c r="EO88" t="e">
        <f>AND(#REF!,"AAAAAD/t7JA=")</f>
        <v>#REF!</v>
      </c>
      <c r="EP88" t="e">
        <f>AND(#REF!,"AAAAAD/t7JE=")</f>
        <v>#REF!</v>
      </c>
      <c r="EQ88" t="e">
        <f>AND(#REF!,"AAAAAD/t7JI=")</f>
        <v>#REF!</v>
      </c>
      <c r="ER88" t="e">
        <f>AND(#REF!,"AAAAAD/t7JM=")</f>
        <v>#REF!</v>
      </c>
      <c r="ES88" t="e">
        <f>AND(#REF!,"AAAAAD/t7JQ=")</f>
        <v>#REF!</v>
      </c>
      <c r="ET88" t="e">
        <f>AND(#REF!,"AAAAAD/t7JU=")</f>
        <v>#REF!</v>
      </c>
      <c r="EU88" t="e">
        <f>AND(#REF!,"AAAAAD/t7JY=")</f>
        <v>#REF!</v>
      </c>
      <c r="EV88" t="e">
        <f>AND(#REF!,"AAAAAD/t7Jc=")</f>
        <v>#REF!</v>
      </c>
      <c r="EW88" t="e">
        <f>AND(#REF!,"AAAAAD/t7Jg=")</f>
        <v>#REF!</v>
      </c>
      <c r="EX88" t="e">
        <f>AND(#REF!,"AAAAAD/t7Jk=")</f>
        <v>#REF!</v>
      </c>
      <c r="EY88" t="e">
        <f>AND(#REF!,"AAAAAD/t7Jo=")</f>
        <v>#REF!</v>
      </c>
      <c r="EZ88" t="e">
        <f>AND(#REF!,"AAAAAD/t7Js=")</f>
        <v>#REF!</v>
      </c>
      <c r="FA88" t="e">
        <f>AND(#REF!,"AAAAAD/t7Jw=")</f>
        <v>#REF!</v>
      </c>
      <c r="FB88" t="e">
        <f>AND(#REF!,"AAAAAD/t7J0=")</f>
        <v>#REF!</v>
      </c>
      <c r="FC88" t="e">
        <f>AND(#REF!,"AAAAAD/t7J4=")</f>
        <v>#REF!</v>
      </c>
      <c r="FD88" t="e">
        <f>AND(#REF!,"AAAAAD/t7J8=")</f>
        <v>#REF!</v>
      </c>
      <c r="FE88" t="e">
        <f>AND(#REF!,"AAAAAD/t7KA=")</f>
        <v>#REF!</v>
      </c>
      <c r="FF88" t="e">
        <f>AND(#REF!,"AAAAAD/t7KE=")</f>
        <v>#REF!</v>
      </c>
      <c r="FG88" t="e">
        <f>AND(#REF!,"AAAAAD/t7KI=")</f>
        <v>#REF!</v>
      </c>
      <c r="FH88" t="e">
        <f>AND(#REF!,"AAAAAD/t7KM=")</f>
        <v>#REF!</v>
      </c>
      <c r="FI88" t="e">
        <f>AND(#REF!,"AAAAAD/t7KQ=")</f>
        <v>#REF!</v>
      </c>
      <c r="FJ88" t="e">
        <f>IF(#REF!,"AAAAAD/t7KU=",0)</f>
        <v>#REF!</v>
      </c>
      <c r="FK88" t="e">
        <f>AND(#REF!,"AAAAAD/t7KY=")</f>
        <v>#REF!</v>
      </c>
      <c r="FL88" t="e">
        <f>AND(#REF!,"AAAAAD/t7Kc=")</f>
        <v>#REF!</v>
      </c>
      <c r="FM88" t="e">
        <f>AND(#REF!,"AAAAAD/t7Kg=")</f>
        <v>#REF!</v>
      </c>
      <c r="FN88" t="e">
        <f>AND(#REF!,"AAAAAD/t7Kk=")</f>
        <v>#REF!</v>
      </c>
      <c r="FO88" t="e">
        <f>AND(#REF!,"AAAAAD/t7Ko=")</f>
        <v>#REF!</v>
      </c>
      <c r="FP88" t="e">
        <f>AND(#REF!,"AAAAAD/t7Ks=")</f>
        <v>#REF!</v>
      </c>
      <c r="FQ88" t="e">
        <f>AND(#REF!,"AAAAAD/t7Kw=")</f>
        <v>#REF!</v>
      </c>
      <c r="FR88" t="e">
        <f>AND(#REF!,"AAAAAD/t7K0=")</f>
        <v>#REF!</v>
      </c>
      <c r="FS88" t="e">
        <f>AND(#REF!,"AAAAAD/t7K4=")</f>
        <v>#REF!</v>
      </c>
      <c r="FT88" t="e">
        <f>AND(#REF!,"AAAAAD/t7K8=")</f>
        <v>#REF!</v>
      </c>
      <c r="FU88" t="e">
        <f>AND(#REF!,"AAAAAD/t7LA=")</f>
        <v>#REF!</v>
      </c>
      <c r="FV88" t="e">
        <f>AND(#REF!,"AAAAAD/t7LE=")</f>
        <v>#REF!</v>
      </c>
      <c r="FW88" t="e">
        <f>AND(#REF!,"AAAAAD/t7LI=")</f>
        <v>#REF!</v>
      </c>
      <c r="FX88" t="e">
        <f>AND(#REF!,"AAAAAD/t7LM=")</f>
        <v>#REF!</v>
      </c>
      <c r="FY88" t="e">
        <f>AND(#REF!,"AAAAAD/t7LQ=")</f>
        <v>#REF!</v>
      </c>
      <c r="FZ88" t="e">
        <f>AND(#REF!,"AAAAAD/t7LU=")</f>
        <v>#REF!</v>
      </c>
      <c r="GA88" t="e">
        <f>AND(#REF!,"AAAAAD/t7LY=")</f>
        <v>#REF!</v>
      </c>
      <c r="GB88" t="e">
        <f>AND(#REF!,"AAAAAD/t7Lc=")</f>
        <v>#REF!</v>
      </c>
      <c r="GC88" t="e">
        <f>AND(#REF!,"AAAAAD/t7Lg=")</f>
        <v>#REF!</v>
      </c>
      <c r="GD88" t="e">
        <f>AND(#REF!,"AAAAAD/t7Lk=")</f>
        <v>#REF!</v>
      </c>
      <c r="GE88" t="e">
        <f>AND(#REF!,"AAAAAD/t7Lo=")</f>
        <v>#REF!</v>
      </c>
      <c r="GF88" t="e">
        <f>AND(#REF!,"AAAAAD/t7Ls=")</f>
        <v>#REF!</v>
      </c>
      <c r="GG88" t="e">
        <f>AND(#REF!,"AAAAAD/t7Lw=")</f>
        <v>#REF!</v>
      </c>
      <c r="GH88" t="e">
        <f>AND(#REF!,"AAAAAD/t7L0=")</f>
        <v>#REF!</v>
      </c>
      <c r="GI88" t="e">
        <f>AND(#REF!,"AAAAAD/t7L4=")</f>
        <v>#REF!</v>
      </c>
      <c r="GJ88" t="e">
        <f>AND(#REF!,"AAAAAD/t7L8=")</f>
        <v>#REF!</v>
      </c>
      <c r="GK88" t="e">
        <f>AND(#REF!,"AAAAAD/t7MA=")</f>
        <v>#REF!</v>
      </c>
      <c r="GL88" t="e">
        <f>AND(#REF!,"AAAAAD/t7ME=")</f>
        <v>#REF!</v>
      </c>
      <c r="GM88" t="e">
        <f>AND(#REF!,"AAAAAD/t7MI=")</f>
        <v>#REF!</v>
      </c>
      <c r="GN88" t="e">
        <f>AND(#REF!,"AAAAAD/t7MM=")</f>
        <v>#REF!</v>
      </c>
      <c r="GO88" t="e">
        <f>AND(#REF!,"AAAAAD/t7MQ=")</f>
        <v>#REF!</v>
      </c>
      <c r="GP88" t="e">
        <f>AND(#REF!,"AAAAAD/t7MU=")</f>
        <v>#REF!</v>
      </c>
      <c r="GQ88" t="e">
        <f>AND(#REF!,"AAAAAD/t7MY=")</f>
        <v>#REF!</v>
      </c>
      <c r="GR88" t="e">
        <f>AND(#REF!,"AAAAAD/t7Mc=")</f>
        <v>#REF!</v>
      </c>
      <c r="GS88" t="e">
        <f>AND(#REF!,"AAAAAD/t7Mg=")</f>
        <v>#REF!</v>
      </c>
      <c r="GT88" t="e">
        <f>AND(#REF!,"AAAAAD/t7Mk=")</f>
        <v>#REF!</v>
      </c>
      <c r="GU88" t="e">
        <f>AND(#REF!,"AAAAAD/t7Mo=")</f>
        <v>#REF!</v>
      </c>
      <c r="GV88" t="e">
        <f>AND(#REF!,"AAAAAD/t7Ms=")</f>
        <v>#REF!</v>
      </c>
      <c r="GW88" t="e">
        <f>AND(#REF!,"AAAAAD/t7Mw=")</f>
        <v>#REF!</v>
      </c>
      <c r="GX88" t="e">
        <f>AND(#REF!,"AAAAAD/t7M0=")</f>
        <v>#REF!</v>
      </c>
      <c r="GY88" t="e">
        <f>AND(#REF!,"AAAAAD/t7M4=")</f>
        <v>#REF!</v>
      </c>
      <c r="GZ88" t="e">
        <f>IF(#REF!,"AAAAAD/t7M8=",0)</f>
        <v>#REF!</v>
      </c>
      <c r="HA88" t="e">
        <f>AND(#REF!,"AAAAAD/t7NA=")</f>
        <v>#REF!</v>
      </c>
      <c r="HB88" t="e">
        <f>AND(#REF!,"AAAAAD/t7NE=")</f>
        <v>#REF!</v>
      </c>
      <c r="HC88" t="e">
        <f>AND(#REF!,"AAAAAD/t7NI=")</f>
        <v>#REF!</v>
      </c>
      <c r="HD88" t="e">
        <f>AND(#REF!,"AAAAAD/t7NM=")</f>
        <v>#REF!</v>
      </c>
      <c r="HE88" t="e">
        <f>AND(#REF!,"AAAAAD/t7NQ=")</f>
        <v>#REF!</v>
      </c>
      <c r="HF88" t="e">
        <f>AND(#REF!,"AAAAAD/t7NU=")</f>
        <v>#REF!</v>
      </c>
      <c r="HG88" t="e">
        <f>AND(#REF!,"AAAAAD/t7NY=")</f>
        <v>#REF!</v>
      </c>
      <c r="HH88" t="e">
        <f>AND(#REF!,"AAAAAD/t7Nc=")</f>
        <v>#REF!</v>
      </c>
      <c r="HI88" t="e">
        <f>AND(#REF!,"AAAAAD/t7Ng=")</f>
        <v>#REF!</v>
      </c>
      <c r="HJ88" t="e">
        <f>AND(#REF!,"AAAAAD/t7Nk=")</f>
        <v>#REF!</v>
      </c>
      <c r="HK88" t="e">
        <f>AND(#REF!,"AAAAAD/t7No=")</f>
        <v>#REF!</v>
      </c>
      <c r="HL88" t="e">
        <f>AND(#REF!,"AAAAAD/t7Ns=")</f>
        <v>#REF!</v>
      </c>
      <c r="HM88" t="e">
        <f>AND(#REF!,"AAAAAD/t7Nw=")</f>
        <v>#REF!</v>
      </c>
      <c r="HN88" t="e">
        <f>AND(#REF!,"AAAAAD/t7N0=")</f>
        <v>#REF!</v>
      </c>
      <c r="HO88" t="e">
        <f>AND(#REF!,"AAAAAD/t7N4=")</f>
        <v>#REF!</v>
      </c>
      <c r="HP88" t="e">
        <f>AND(#REF!,"AAAAAD/t7N8=")</f>
        <v>#REF!</v>
      </c>
      <c r="HQ88" t="e">
        <f>AND(#REF!,"AAAAAD/t7OA=")</f>
        <v>#REF!</v>
      </c>
      <c r="HR88" t="e">
        <f>AND(#REF!,"AAAAAD/t7OE=")</f>
        <v>#REF!</v>
      </c>
      <c r="HS88" t="e">
        <f>AND(#REF!,"AAAAAD/t7OI=")</f>
        <v>#REF!</v>
      </c>
      <c r="HT88" t="e">
        <f>AND(#REF!,"AAAAAD/t7OM=")</f>
        <v>#REF!</v>
      </c>
      <c r="HU88" t="e">
        <f>AND(#REF!,"AAAAAD/t7OQ=")</f>
        <v>#REF!</v>
      </c>
      <c r="HV88" t="e">
        <f>AND(#REF!,"AAAAAD/t7OU=")</f>
        <v>#REF!</v>
      </c>
      <c r="HW88" t="e">
        <f>AND(#REF!,"AAAAAD/t7OY=")</f>
        <v>#REF!</v>
      </c>
      <c r="HX88" t="e">
        <f>AND(#REF!,"AAAAAD/t7Oc=")</f>
        <v>#REF!</v>
      </c>
      <c r="HY88" t="e">
        <f>AND(#REF!,"AAAAAD/t7Og=")</f>
        <v>#REF!</v>
      </c>
      <c r="HZ88" t="e">
        <f>AND(#REF!,"AAAAAD/t7Ok=")</f>
        <v>#REF!</v>
      </c>
      <c r="IA88" t="e">
        <f>AND(#REF!,"AAAAAD/t7Oo=")</f>
        <v>#REF!</v>
      </c>
      <c r="IB88" t="e">
        <f>AND(#REF!,"AAAAAD/t7Os=")</f>
        <v>#REF!</v>
      </c>
      <c r="IC88" t="e">
        <f>AND(#REF!,"AAAAAD/t7Ow=")</f>
        <v>#REF!</v>
      </c>
      <c r="ID88" t="e">
        <f>AND(#REF!,"AAAAAD/t7O0=")</f>
        <v>#REF!</v>
      </c>
      <c r="IE88" t="e">
        <f>AND(#REF!,"AAAAAD/t7O4=")</f>
        <v>#REF!</v>
      </c>
      <c r="IF88" t="e">
        <f>AND(#REF!,"AAAAAD/t7O8=")</f>
        <v>#REF!</v>
      </c>
      <c r="IG88" t="e">
        <f>AND(#REF!,"AAAAAD/t7PA=")</f>
        <v>#REF!</v>
      </c>
      <c r="IH88" t="e">
        <f>AND(#REF!,"AAAAAD/t7PE=")</f>
        <v>#REF!</v>
      </c>
      <c r="II88" t="e">
        <f>AND(#REF!,"AAAAAD/t7PI=")</f>
        <v>#REF!</v>
      </c>
      <c r="IJ88" t="e">
        <f>AND(#REF!,"AAAAAD/t7PM=")</f>
        <v>#REF!</v>
      </c>
      <c r="IK88" t="e">
        <f>AND(#REF!,"AAAAAD/t7PQ=")</f>
        <v>#REF!</v>
      </c>
      <c r="IL88" t="e">
        <f>AND(#REF!,"AAAAAD/t7PU=")</f>
        <v>#REF!</v>
      </c>
      <c r="IM88" t="e">
        <f>AND(#REF!,"AAAAAD/t7PY=")</f>
        <v>#REF!</v>
      </c>
      <c r="IN88" t="e">
        <f>AND(#REF!,"AAAAAD/t7Pc=")</f>
        <v>#REF!</v>
      </c>
      <c r="IO88" t="e">
        <f>AND(#REF!,"AAAAAD/t7Pg=")</f>
        <v>#REF!</v>
      </c>
      <c r="IP88" t="e">
        <f>IF(#REF!,"AAAAAD/t7Pk=",0)</f>
        <v>#REF!</v>
      </c>
      <c r="IQ88" t="e">
        <f>AND(#REF!,"AAAAAD/t7Po=")</f>
        <v>#REF!</v>
      </c>
      <c r="IR88" t="e">
        <f>AND(#REF!,"AAAAAD/t7Ps=")</f>
        <v>#REF!</v>
      </c>
      <c r="IS88" t="e">
        <f>AND(#REF!,"AAAAAD/t7Pw=")</f>
        <v>#REF!</v>
      </c>
      <c r="IT88" t="e">
        <f>AND(#REF!,"AAAAAD/t7P0=")</f>
        <v>#REF!</v>
      </c>
      <c r="IU88" t="e">
        <f>AND(#REF!,"AAAAAD/t7P4=")</f>
        <v>#REF!</v>
      </c>
      <c r="IV88" t="e">
        <f>AND(#REF!,"AAAAAD/t7P8=")</f>
        <v>#REF!</v>
      </c>
    </row>
    <row r="89" spans="1:256">
      <c r="A89" t="e">
        <f>AND(#REF!,"AAAAAD/3/wA=")</f>
        <v>#REF!</v>
      </c>
      <c r="B89" t="e">
        <f>AND(#REF!,"AAAAAD/3/wE=")</f>
        <v>#REF!</v>
      </c>
      <c r="C89" t="e">
        <f>AND(#REF!,"AAAAAD/3/wI=")</f>
        <v>#REF!</v>
      </c>
      <c r="D89" t="e">
        <f>AND(#REF!,"AAAAAD/3/wM=")</f>
        <v>#REF!</v>
      </c>
      <c r="E89" t="e">
        <f>AND(#REF!,"AAAAAD/3/wQ=")</f>
        <v>#REF!</v>
      </c>
      <c r="F89" t="e">
        <f>AND(#REF!,"AAAAAD/3/wU=")</f>
        <v>#REF!</v>
      </c>
      <c r="G89" t="e">
        <f>AND(#REF!,"AAAAAD/3/wY=")</f>
        <v>#REF!</v>
      </c>
      <c r="H89" t="e">
        <f>AND(#REF!,"AAAAAD/3/wc=")</f>
        <v>#REF!</v>
      </c>
      <c r="I89" t="e">
        <f>AND(#REF!,"AAAAAD/3/wg=")</f>
        <v>#REF!</v>
      </c>
      <c r="J89" t="e">
        <f>AND(#REF!,"AAAAAD/3/wk=")</f>
        <v>#REF!</v>
      </c>
      <c r="K89" t="e">
        <f>AND(#REF!,"AAAAAD/3/wo=")</f>
        <v>#REF!</v>
      </c>
      <c r="L89" t="e">
        <f>AND(#REF!,"AAAAAD/3/ws=")</f>
        <v>#REF!</v>
      </c>
      <c r="M89" t="e">
        <f>AND(#REF!,"AAAAAD/3/ww=")</f>
        <v>#REF!</v>
      </c>
      <c r="N89" t="e">
        <f>AND(#REF!,"AAAAAD/3/w0=")</f>
        <v>#REF!</v>
      </c>
      <c r="O89" t="e">
        <f>AND(#REF!,"AAAAAD/3/w4=")</f>
        <v>#REF!</v>
      </c>
      <c r="P89" t="e">
        <f>AND(#REF!,"AAAAAD/3/w8=")</f>
        <v>#REF!</v>
      </c>
      <c r="Q89" t="e">
        <f>AND(#REF!,"AAAAAD/3/xA=")</f>
        <v>#REF!</v>
      </c>
      <c r="R89" t="e">
        <f>AND(#REF!,"AAAAAD/3/xE=")</f>
        <v>#REF!</v>
      </c>
      <c r="S89" t="e">
        <f>AND(#REF!,"AAAAAD/3/xI=")</f>
        <v>#REF!</v>
      </c>
      <c r="T89" t="e">
        <f>AND(#REF!,"AAAAAD/3/xM=")</f>
        <v>#REF!</v>
      </c>
      <c r="U89" t="e">
        <f>AND(#REF!,"AAAAAD/3/xQ=")</f>
        <v>#REF!</v>
      </c>
      <c r="V89" t="e">
        <f>AND(#REF!,"AAAAAD/3/xU=")</f>
        <v>#REF!</v>
      </c>
      <c r="W89" t="e">
        <f>AND(#REF!,"AAAAAD/3/xY=")</f>
        <v>#REF!</v>
      </c>
      <c r="X89" t="e">
        <f>AND(#REF!,"AAAAAD/3/xc=")</f>
        <v>#REF!</v>
      </c>
      <c r="Y89" t="e">
        <f>AND(#REF!,"AAAAAD/3/xg=")</f>
        <v>#REF!</v>
      </c>
      <c r="Z89" t="e">
        <f>AND(#REF!,"AAAAAD/3/xk=")</f>
        <v>#REF!</v>
      </c>
      <c r="AA89" t="e">
        <f>AND(#REF!,"AAAAAD/3/xo=")</f>
        <v>#REF!</v>
      </c>
      <c r="AB89" t="e">
        <f>AND(#REF!,"AAAAAD/3/xs=")</f>
        <v>#REF!</v>
      </c>
      <c r="AC89" t="e">
        <f>AND(#REF!,"AAAAAD/3/xw=")</f>
        <v>#REF!</v>
      </c>
      <c r="AD89" t="e">
        <f>AND(#REF!,"AAAAAD/3/x0=")</f>
        <v>#REF!</v>
      </c>
      <c r="AE89" t="e">
        <f>AND(#REF!,"AAAAAD/3/x4=")</f>
        <v>#REF!</v>
      </c>
      <c r="AF89" t="e">
        <f>AND(#REF!,"AAAAAD/3/x8=")</f>
        <v>#REF!</v>
      </c>
      <c r="AG89" t="e">
        <f>AND(#REF!,"AAAAAD/3/yA=")</f>
        <v>#REF!</v>
      </c>
      <c r="AH89" t="e">
        <f>AND(#REF!,"AAAAAD/3/yE=")</f>
        <v>#REF!</v>
      </c>
      <c r="AI89" t="e">
        <f>AND(#REF!,"AAAAAD/3/yI=")</f>
        <v>#REF!</v>
      </c>
      <c r="AJ89" t="e">
        <f>IF(#REF!,"AAAAAD/3/yM=",0)</f>
        <v>#REF!</v>
      </c>
      <c r="AK89" t="e">
        <f>AND(#REF!,"AAAAAD/3/yQ=")</f>
        <v>#REF!</v>
      </c>
      <c r="AL89" t="e">
        <f>AND(#REF!,"AAAAAD/3/yU=")</f>
        <v>#REF!</v>
      </c>
      <c r="AM89" t="e">
        <f>AND(#REF!,"AAAAAD/3/yY=")</f>
        <v>#REF!</v>
      </c>
      <c r="AN89" t="e">
        <f>AND(#REF!,"AAAAAD/3/yc=")</f>
        <v>#REF!</v>
      </c>
      <c r="AO89" t="e">
        <f>AND(#REF!,"AAAAAD/3/yg=")</f>
        <v>#REF!</v>
      </c>
      <c r="AP89" t="e">
        <f>AND(#REF!,"AAAAAD/3/yk=")</f>
        <v>#REF!</v>
      </c>
      <c r="AQ89" t="e">
        <f>AND(#REF!,"AAAAAD/3/yo=")</f>
        <v>#REF!</v>
      </c>
      <c r="AR89" t="e">
        <f>AND(#REF!,"AAAAAD/3/ys=")</f>
        <v>#REF!</v>
      </c>
      <c r="AS89" t="e">
        <f>AND(#REF!,"AAAAAD/3/yw=")</f>
        <v>#REF!</v>
      </c>
      <c r="AT89" t="e">
        <f>AND(#REF!,"AAAAAD/3/y0=")</f>
        <v>#REF!</v>
      </c>
      <c r="AU89" t="e">
        <f>AND(#REF!,"AAAAAD/3/y4=")</f>
        <v>#REF!</v>
      </c>
      <c r="AV89" t="e">
        <f>AND(#REF!,"AAAAAD/3/y8=")</f>
        <v>#REF!</v>
      </c>
      <c r="AW89" t="e">
        <f>AND(#REF!,"AAAAAD/3/zA=")</f>
        <v>#REF!</v>
      </c>
      <c r="AX89" t="e">
        <f>AND(#REF!,"AAAAAD/3/zE=")</f>
        <v>#REF!</v>
      </c>
      <c r="AY89" t="e">
        <f>AND(#REF!,"AAAAAD/3/zI=")</f>
        <v>#REF!</v>
      </c>
      <c r="AZ89" t="e">
        <f>AND(#REF!,"AAAAAD/3/zM=")</f>
        <v>#REF!</v>
      </c>
      <c r="BA89" t="e">
        <f>AND(#REF!,"AAAAAD/3/zQ=")</f>
        <v>#REF!</v>
      </c>
      <c r="BB89" t="e">
        <f>AND(#REF!,"AAAAAD/3/zU=")</f>
        <v>#REF!</v>
      </c>
      <c r="BC89" t="e">
        <f>AND(#REF!,"AAAAAD/3/zY=")</f>
        <v>#REF!</v>
      </c>
      <c r="BD89" t="e">
        <f>AND(#REF!,"AAAAAD/3/zc=")</f>
        <v>#REF!</v>
      </c>
      <c r="BE89" t="e">
        <f>AND(#REF!,"AAAAAD/3/zg=")</f>
        <v>#REF!</v>
      </c>
      <c r="BF89" t="e">
        <f>AND(#REF!,"AAAAAD/3/zk=")</f>
        <v>#REF!</v>
      </c>
      <c r="BG89" t="e">
        <f>AND(#REF!,"AAAAAD/3/zo=")</f>
        <v>#REF!</v>
      </c>
      <c r="BH89" t="e">
        <f>AND(#REF!,"AAAAAD/3/zs=")</f>
        <v>#REF!</v>
      </c>
      <c r="BI89" t="e">
        <f>AND(#REF!,"AAAAAD/3/zw=")</f>
        <v>#REF!</v>
      </c>
      <c r="BJ89" t="e">
        <f>AND(#REF!,"AAAAAD/3/z0=")</f>
        <v>#REF!</v>
      </c>
      <c r="BK89" t="e">
        <f>AND(#REF!,"AAAAAD/3/z4=")</f>
        <v>#REF!</v>
      </c>
      <c r="BL89" t="e">
        <f>AND(#REF!,"AAAAAD/3/z8=")</f>
        <v>#REF!</v>
      </c>
      <c r="BM89" t="e">
        <f>AND(#REF!,"AAAAAD/3/0A=")</f>
        <v>#REF!</v>
      </c>
      <c r="BN89" t="e">
        <f>AND(#REF!,"AAAAAD/3/0E=")</f>
        <v>#REF!</v>
      </c>
      <c r="BO89" t="e">
        <f>AND(#REF!,"AAAAAD/3/0I=")</f>
        <v>#REF!</v>
      </c>
      <c r="BP89" t="e">
        <f>AND(#REF!,"AAAAAD/3/0M=")</f>
        <v>#REF!</v>
      </c>
      <c r="BQ89" t="e">
        <f>AND(#REF!,"AAAAAD/3/0Q=")</f>
        <v>#REF!</v>
      </c>
      <c r="BR89" t="e">
        <f>AND(#REF!,"AAAAAD/3/0U=")</f>
        <v>#REF!</v>
      </c>
      <c r="BS89" t="e">
        <f>AND(#REF!,"AAAAAD/3/0Y=")</f>
        <v>#REF!</v>
      </c>
      <c r="BT89" t="e">
        <f>AND(#REF!,"AAAAAD/3/0c=")</f>
        <v>#REF!</v>
      </c>
      <c r="BU89" t="e">
        <f>AND(#REF!,"AAAAAD/3/0g=")</f>
        <v>#REF!</v>
      </c>
      <c r="BV89" t="e">
        <f>AND(#REF!,"AAAAAD/3/0k=")</f>
        <v>#REF!</v>
      </c>
      <c r="BW89" t="e">
        <f>AND(#REF!,"AAAAAD/3/0o=")</f>
        <v>#REF!</v>
      </c>
      <c r="BX89" t="e">
        <f>AND(#REF!,"AAAAAD/3/0s=")</f>
        <v>#REF!</v>
      </c>
      <c r="BY89" t="e">
        <f>AND(#REF!,"AAAAAD/3/0w=")</f>
        <v>#REF!</v>
      </c>
      <c r="BZ89" t="e">
        <f>IF(#REF!,"AAAAAD/3/00=",0)</f>
        <v>#REF!</v>
      </c>
      <c r="CA89" t="e">
        <f>AND(#REF!,"AAAAAD/3/04=")</f>
        <v>#REF!</v>
      </c>
      <c r="CB89" t="e">
        <f>AND(#REF!,"AAAAAD/3/08=")</f>
        <v>#REF!</v>
      </c>
      <c r="CC89" t="e">
        <f>AND(#REF!,"AAAAAD/3/1A=")</f>
        <v>#REF!</v>
      </c>
      <c r="CD89" t="e">
        <f>AND(#REF!,"AAAAAD/3/1E=")</f>
        <v>#REF!</v>
      </c>
      <c r="CE89" t="e">
        <f>AND(#REF!,"AAAAAD/3/1I=")</f>
        <v>#REF!</v>
      </c>
      <c r="CF89" t="e">
        <f>AND(#REF!,"AAAAAD/3/1M=")</f>
        <v>#REF!</v>
      </c>
      <c r="CG89" t="e">
        <f>AND(#REF!,"AAAAAD/3/1Q=")</f>
        <v>#REF!</v>
      </c>
      <c r="CH89" t="e">
        <f>AND(#REF!,"AAAAAD/3/1U=")</f>
        <v>#REF!</v>
      </c>
      <c r="CI89" t="e">
        <f>AND(#REF!,"AAAAAD/3/1Y=")</f>
        <v>#REF!</v>
      </c>
      <c r="CJ89" t="e">
        <f>AND(#REF!,"AAAAAD/3/1c=")</f>
        <v>#REF!</v>
      </c>
      <c r="CK89" t="e">
        <f>AND(#REF!,"AAAAAD/3/1g=")</f>
        <v>#REF!</v>
      </c>
      <c r="CL89" t="e">
        <f>AND(#REF!,"AAAAAD/3/1k=")</f>
        <v>#REF!</v>
      </c>
      <c r="CM89" t="e">
        <f>AND(#REF!,"AAAAAD/3/1o=")</f>
        <v>#REF!</v>
      </c>
      <c r="CN89" t="e">
        <f>AND(#REF!,"AAAAAD/3/1s=")</f>
        <v>#REF!</v>
      </c>
      <c r="CO89" t="e">
        <f>AND(#REF!,"AAAAAD/3/1w=")</f>
        <v>#REF!</v>
      </c>
      <c r="CP89" t="e">
        <f>AND(#REF!,"AAAAAD/3/10=")</f>
        <v>#REF!</v>
      </c>
      <c r="CQ89" t="e">
        <f>AND(#REF!,"AAAAAD/3/14=")</f>
        <v>#REF!</v>
      </c>
      <c r="CR89" t="e">
        <f>AND(#REF!,"AAAAAD/3/18=")</f>
        <v>#REF!</v>
      </c>
      <c r="CS89" t="e">
        <f>AND(#REF!,"AAAAAD/3/2A=")</f>
        <v>#REF!</v>
      </c>
      <c r="CT89" t="e">
        <f>AND(#REF!,"AAAAAD/3/2E=")</f>
        <v>#REF!</v>
      </c>
      <c r="CU89" t="e">
        <f>AND(#REF!,"AAAAAD/3/2I=")</f>
        <v>#REF!</v>
      </c>
      <c r="CV89" t="e">
        <f>AND(#REF!,"AAAAAD/3/2M=")</f>
        <v>#REF!</v>
      </c>
      <c r="CW89" t="e">
        <f>AND(#REF!,"AAAAAD/3/2Q=")</f>
        <v>#REF!</v>
      </c>
      <c r="CX89" t="e">
        <f>AND(#REF!,"AAAAAD/3/2U=")</f>
        <v>#REF!</v>
      </c>
      <c r="CY89" t="e">
        <f>AND(#REF!,"AAAAAD/3/2Y=")</f>
        <v>#REF!</v>
      </c>
      <c r="CZ89" t="e">
        <f>AND(#REF!,"AAAAAD/3/2c=")</f>
        <v>#REF!</v>
      </c>
      <c r="DA89" t="e">
        <f>AND(#REF!,"AAAAAD/3/2g=")</f>
        <v>#REF!</v>
      </c>
      <c r="DB89" t="e">
        <f>AND(#REF!,"AAAAAD/3/2k=")</f>
        <v>#REF!</v>
      </c>
      <c r="DC89" t="e">
        <f>AND(#REF!,"AAAAAD/3/2o=")</f>
        <v>#REF!</v>
      </c>
      <c r="DD89" t="e">
        <f>AND(#REF!,"AAAAAD/3/2s=")</f>
        <v>#REF!</v>
      </c>
      <c r="DE89" t="e">
        <f>AND(#REF!,"AAAAAD/3/2w=")</f>
        <v>#REF!</v>
      </c>
      <c r="DF89" t="e">
        <f>AND(#REF!,"AAAAAD/3/20=")</f>
        <v>#REF!</v>
      </c>
      <c r="DG89" t="e">
        <f>AND(#REF!,"AAAAAD/3/24=")</f>
        <v>#REF!</v>
      </c>
      <c r="DH89" t="e">
        <f>AND(#REF!,"AAAAAD/3/28=")</f>
        <v>#REF!</v>
      </c>
      <c r="DI89" t="e">
        <f>AND(#REF!,"AAAAAD/3/3A=")</f>
        <v>#REF!</v>
      </c>
      <c r="DJ89" t="e">
        <f>AND(#REF!,"AAAAAD/3/3E=")</f>
        <v>#REF!</v>
      </c>
      <c r="DK89" t="e">
        <f>AND(#REF!,"AAAAAD/3/3I=")</f>
        <v>#REF!</v>
      </c>
      <c r="DL89" t="e">
        <f>AND(#REF!,"AAAAAD/3/3M=")</f>
        <v>#REF!</v>
      </c>
      <c r="DM89" t="e">
        <f>AND(#REF!,"AAAAAD/3/3Q=")</f>
        <v>#REF!</v>
      </c>
      <c r="DN89" t="e">
        <f>AND(#REF!,"AAAAAD/3/3U=")</f>
        <v>#REF!</v>
      </c>
      <c r="DO89" t="e">
        <f>AND(#REF!,"AAAAAD/3/3Y=")</f>
        <v>#REF!</v>
      </c>
      <c r="DP89" t="e">
        <f>IF(#REF!,"AAAAAD/3/3c=",0)</f>
        <v>#REF!</v>
      </c>
      <c r="DQ89" t="e">
        <f>AND(#REF!,"AAAAAD/3/3g=")</f>
        <v>#REF!</v>
      </c>
      <c r="DR89" t="e">
        <f>AND(#REF!,"AAAAAD/3/3k=")</f>
        <v>#REF!</v>
      </c>
      <c r="DS89" t="e">
        <f>AND(#REF!,"AAAAAD/3/3o=")</f>
        <v>#REF!</v>
      </c>
      <c r="DT89" t="e">
        <f>AND(#REF!,"AAAAAD/3/3s=")</f>
        <v>#REF!</v>
      </c>
      <c r="DU89" t="e">
        <f>AND(#REF!,"AAAAAD/3/3w=")</f>
        <v>#REF!</v>
      </c>
      <c r="DV89" t="e">
        <f>AND(#REF!,"AAAAAD/3/30=")</f>
        <v>#REF!</v>
      </c>
      <c r="DW89" t="e">
        <f>AND(#REF!,"AAAAAD/3/34=")</f>
        <v>#REF!</v>
      </c>
      <c r="DX89" t="e">
        <f>AND(#REF!,"AAAAAD/3/38=")</f>
        <v>#REF!</v>
      </c>
      <c r="DY89" t="e">
        <f>AND(#REF!,"AAAAAD/3/4A=")</f>
        <v>#REF!</v>
      </c>
      <c r="DZ89" t="e">
        <f>AND(#REF!,"AAAAAD/3/4E=")</f>
        <v>#REF!</v>
      </c>
      <c r="EA89" t="e">
        <f>AND(#REF!,"AAAAAD/3/4I=")</f>
        <v>#REF!</v>
      </c>
      <c r="EB89" t="e">
        <f>AND(#REF!,"AAAAAD/3/4M=")</f>
        <v>#REF!</v>
      </c>
      <c r="EC89" t="e">
        <f>AND(#REF!,"AAAAAD/3/4Q=")</f>
        <v>#REF!</v>
      </c>
      <c r="ED89" t="e">
        <f>AND(#REF!,"AAAAAD/3/4U=")</f>
        <v>#REF!</v>
      </c>
      <c r="EE89" t="e">
        <f>AND(#REF!,"AAAAAD/3/4Y=")</f>
        <v>#REF!</v>
      </c>
      <c r="EF89" t="e">
        <f>AND(#REF!,"AAAAAD/3/4c=")</f>
        <v>#REF!</v>
      </c>
      <c r="EG89" t="e">
        <f>AND(#REF!,"AAAAAD/3/4g=")</f>
        <v>#REF!</v>
      </c>
      <c r="EH89" t="e">
        <f>AND(#REF!,"AAAAAD/3/4k=")</f>
        <v>#REF!</v>
      </c>
      <c r="EI89" t="e">
        <f>AND(#REF!,"AAAAAD/3/4o=")</f>
        <v>#REF!</v>
      </c>
      <c r="EJ89" t="e">
        <f>AND(#REF!,"AAAAAD/3/4s=")</f>
        <v>#REF!</v>
      </c>
      <c r="EK89" t="e">
        <f>AND(#REF!,"AAAAAD/3/4w=")</f>
        <v>#REF!</v>
      </c>
      <c r="EL89" t="e">
        <f>AND(#REF!,"AAAAAD/3/40=")</f>
        <v>#REF!</v>
      </c>
      <c r="EM89" t="e">
        <f>AND(#REF!,"AAAAAD/3/44=")</f>
        <v>#REF!</v>
      </c>
      <c r="EN89" t="e">
        <f>AND(#REF!,"AAAAAD/3/48=")</f>
        <v>#REF!</v>
      </c>
      <c r="EO89" t="e">
        <f>AND(#REF!,"AAAAAD/3/5A=")</f>
        <v>#REF!</v>
      </c>
      <c r="EP89" t="e">
        <f>AND(#REF!,"AAAAAD/3/5E=")</f>
        <v>#REF!</v>
      </c>
      <c r="EQ89" t="e">
        <f>AND(#REF!,"AAAAAD/3/5I=")</f>
        <v>#REF!</v>
      </c>
      <c r="ER89" t="e">
        <f>AND(#REF!,"AAAAAD/3/5M=")</f>
        <v>#REF!</v>
      </c>
      <c r="ES89" t="e">
        <f>AND(#REF!,"AAAAAD/3/5Q=")</f>
        <v>#REF!</v>
      </c>
      <c r="ET89" t="e">
        <f>AND(#REF!,"AAAAAD/3/5U=")</f>
        <v>#REF!</v>
      </c>
      <c r="EU89" t="e">
        <f>AND(#REF!,"AAAAAD/3/5Y=")</f>
        <v>#REF!</v>
      </c>
      <c r="EV89" t="e">
        <f>AND(#REF!,"AAAAAD/3/5c=")</f>
        <v>#REF!</v>
      </c>
      <c r="EW89" t="e">
        <f>AND(#REF!,"AAAAAD/3/5g=")</f>
        <v>#REF!</v>
      </c>
      <c r="EX89" t="e">
        <f>AND(#REF!,"AAAAAD/3/5k=")</f>
        <v>#REF!</v>
      </c>
      <c r="EY89" t="e">
        <f>AND(#REF!,"AAAAAD/3/5o=")</f>
        <v>#REF!</v>
      </c>
      <c r="EZ89" t="e">
        <f>AND(#REF!,"AAAAAD/3/5s=")</f>
        <v>#REF!</v>
      </c>
      <c r="FA89" t="e">
        <f>AND(#REF!,"AAAAAD/3/5w=")</f>
        <v>#REF!</v>
      </c>
      <c r="FB89" t="e">
        <f>AND(#REF!,"AAAAAD/3/50=")</f>
        <v>#REF!</v>
      </c>
      <c r="FC89" t="e">
        <f>AND(#REF!,"AAAAAD/3/54=")</f>
        <v>#REF!</v>
      </c>
      <c r="FD89" t="e">
        <f>AND(#REF!,"AAAAAD/3/58=")</f>
        <v>#REF!</v>
      </c>
      <c r="FE89" t="e">
        <f>AND(#REF!,"AAAAAD/3/6A=")</f>
        <v>#REF!</v>
      </c>
      <c r="FF89" t="e">
        <f>IF(#REF!,"AAAAAD/3/6E=",0)</f>
        <v>#REF!</v>
      </c>
      <c r="FG89" t="e">
        <f>AND(#REF!,"AAAAAD/3/6I=")</f>
        <v>#REF!</v>
      </c>
      <c r="FH89" t="e">
        <f>AND(#REF!,"AAAAAD/3/6M=")</f>
        <v>#REF!</v>
      </c>
      <c r="FI89" t="e">
        <f>AND(#REF!,"AAAAAD/3/6Q=")</f>
        <v>#REF!</v>
      </c>
      <c r="FJ89" t="e">
        <f>AND(#REF!,"AAAAAD/3/6U=")</f>
        <v>#REF!</v>
      </c>
      <c r="FK89" t="e">
        <f>AND(#REF!,"AAAAAD/3/6Y=")</f>
        <v>#REF!</v>
      </c>
      <c r="FL89" t="e">
        <f>AND(#REF!,"AAAAAD/3/6c=")</f>
        <v>#REF!</v>
      </c>
      <c r="FM89" t="e">
        <f>AND(#REF!,"AAAAAD/3/6g=")</f>
        <v>#REF!</v>
      </c>
      <c r="FN89" t="e">
        <f>AND(#REF!,"AAAAAD/3/6k=")</f>
        <v>#REF!</v>
      </c>
      <c r="FO89" t="e">
        <f>AND(#REF!,"AAAAAD/3/6o=")</f>
        <v>#REF!</v>
      </c>
      <c r="FP89" t="e">
        <f>AND(#REF!,"AAAAAD/3/6s=")</f>
        <v>#REF!</v>
      </c>
      <c r="FQ89" t="e">
        <f>AND(#REF!,"AAAAAD/3/6w=")</f>
        <v>#REF!</v>
      </c>
      <c r="FR89" t="e">
        <f>AND(#REF!,"AAAAAD/3/60=")</f>
        <v>#REF!</v>
      </c>
      <c r="FS89" t="e">
        <f>AND(#REF!,"AAAAAD/3/64=")</f>
        <v>#REF!</v>
      </c>
      <c r="FT89" t="e">
        <f>AND(#REF!,"AAAAAD/3/68=")</f>
        <v>#REF!</v>
      </c>
      <c r="FU89" t="e">
        <f>AND(#REF!,"AAAAAD/3/7A=")</f>
        <v>#REF!</v>
      </c>
      <c r="FV89" t="e">
        <f>AND(#REF!,"AAAAAD/3/7E=")</f>
        <v>#REF!</v>
      </c>
      <c r="FW89" t="e">
        <f>AND(#REF!,"AAAAAD/3/7I=")</f>
        <v>#REF!</v>
      </c>
      <c r="FX89" t="e">
        <f>AND(#REF!,"AAAAAD/3/7M=")</f>
        <v>#REF!</v>
      </c>
      <c r="FY89" t="e">
        <f>AND(#REF!,"AAAAAD/3/7Q=")</f>
        <v>#REF!</v>
      </c>
      <c r="FZ89" t="e">
        <f>AND(#REF!,"AAAAAD/3/7U=")</f>
        <v>#REF!</v>
      </c>
      <c r="GA89" t="e">
        <f>AND(#REF!,"AAAAAD/3/7Y=")</f>
        <v>#REF!</v>
      </c>
      <c r="GB89" t="e">
        <f>AND(#REF!,"AAAAAD/3/7c=")</f>
        <v>#REF!</v>
      </c>
      <c r="GC89" t="e">
        <f>AND(#REF!,"AAAAAD/3/7g=")</f>
        <v>#REF!</v>
      </c>
      <c r="GD89" t="e">
        <f>AND(#REF!,"AAAAAD/3/7k=")</f>
        <v>#REF!</v>
      </c>
      <c r="GE89" t="e">
        <f>AND(#REF!,"AAAAAD/3/7o=")</f>
        <v>#REF!</v>
      </c>
      <c r="GF89" t="e">
        <f>AND(#REF!,"AAAAAD/3/7s=")</f>
        <v>#REF!</v>
      </c>
      <c r="GG89" t="e">
        <f>AND(#REF!,"AAAAAD/3/7w=")</f>
        <v>#REF!</v>
      </c>
      <c r="GH89" t="e">
        <f>AND(#REF!,"AAAAAD/3/70=")</f>
        <v>#REF!</v>
      </c>
      <c r="GI89" t="e">
        <f>AND(#REF!,"AAAAAD/3/74=")</f>
        <v>#REF!</v>
      </c>
      <c r="GJ89" t="e">
        <f>AND(#REF!,"AAAAAD/3/78=")</f>
        <v>#REF!</v>
      </c>
      <c r="GK89" t="e">
        <f>AND(#REF!,"AAAAAD/3/8A=")</f>
        <v>#REF!</v>
      </c>
      <c r="GL89" t="e">
        <f>AND(#REF!,"AAAAAD/3/8E=")</f>
        <v>#REF!</v>
      </c>
      <c r="GM89" t="e">
        <f>AND(#REF!,"AAAAAD/3/8I=")</f>
        <v>#REF!</v>
      </c>
      <c r="GN89" t="e">
        <f>AND(#REF!,"AAAAAD/3/8M=")</f>
        <v>#REF!</v>
      </c>
      <c r="GO89" t="e">
        <f>AND(#REF!,"AAAAAD/3/8Q=")</f>
        <v>#REF!</v>
      </c>
      <c r="GP89" t="e">
        <f>AND(#REF!,"AAAAAD/3/8U=")</f>
        <v>#REF!</v>
      </c>
      <c r="GQ89" t="e">
        <f>AND(#REF!,"AAAAAD/3/8Y=")</f>
        <v>#REF!</v>
      </c>
      <c r="GR89" t="e">
        <f>AND(#REF!,"AAAAAD/3/8c=")</f>
        <v>#REF!</v>
      </c>
      <c r="GS89" t="e">
        <f>AND(#REF!,"AAAAAD/3/8g=")</f>
        <v>#REF!</v>
      </c>
      <c r="GT89" t="e">
        <f>AND(#REF!,"AAAAAD/3/8k=")</f>
        <v>#REF!</v>
      </c>
      <c r="GU89" t="e">
        <f>AND(#REF!,"AAAAAD/3/8o=")</f>
        <v>#REF!</v>
      </c>
      <c r="GV89" t="e">
        <f>IF(#REF!,"AAAAAD/3/8s=",0)</f>
        <v>#REF!</v>
      </c>
      <c r="GW89" t="e">
        <f>AND(#REF!,"AAAAAD/3/8w=")</f>
        <v>#REF!</v>
      </c>
      <c r="GX89" t="e">
        <f>AND(#REF!,"AAAAAD/3/80=")</f>
        <v>#REF!</v>
      </c>
      <c r="GY89" t="e">
        <f>AND(#REF!,"AAAAAD/3/84=")</f>
        <v>#REF!</v>
      </c>
      <c r="GZ89" t="e">
        <f>AND(#REF!,"AAAAAD/3/88=")</f>
        <v>#REF!</v>
      </c>
      <c r="HA89" t="e">
        <f>AND(#REF!,"AAAAAD/3/9A=")</f>
        <v>#REF!</v>
      </c>
      <c r="HB89" t="e">
        <f>AND(#REF!,"AAAAAD/3/9E=")</f>
        <v>#REF!</v>
      </c>
      <c r="HC89" t="e">
        <f>AND(#REF!,"AAAAAD/3/9I=")</f>
        <v>#REF!</v>
      </c>
      <c r="HD89" t="e">
        <f>AND(#REF!,"AAAAAD/3/9M=")</f>
        <v>#REF!</v>
      </c>
      <c r="HE89" t="e">
        <f>AND(#REF!,"AAAAAD/3/9Q=")</f>
        <v>#REF!</v>
      </c>
      <c r="HF89" t="e">
        <f>AND(#REF!,"AAAAAD/3/9U=")</f>
        <v>#REF!</v>
      </c>
      <c r="HG89" t="e">
        <f>AND(#REF!,"AAAAAD/3/9Y=")</f>
        <v>#REF!</v>
      </c>
      <c r="HH89" t="e">
        <f>AND(#REF!,"AAAAAD/3/9c=")</f>
        <v>#REF!</v>
      </c>
      <c r="HI89" t="e">
        <f>AND(#REF!,"AAAAAD/3/9g=")</f>
        <v>#REF!</v>
      </c>
      <c r="HJ89" t="e">
        <f>AND(#REF!,"AAAAAD/3/9k=")</f>
        <v>#REF!</v>
      </c>
      <c r="HK89" t="e">
        <f>AND(#REF!,"AAAAAD/3/9o=")</f>
        <v>#REF!</v>
      </c>
      <c r="HL89" t="e">
        <f>AND(#REF!,"AAAAAD/3/9s=")</f>
        <v>#REF!</v>
      </c>
      <c r="HM89" t="e">
        <f>AND(#REF!,"AAAAAD/3/9w=")</f>
        <v>#REF!</v>
      </c>
      <c r="HN89" t="e">
        <f>AND(#REF!,"AAAAAD/3/90=")</f>
        <v>#REF!</v>
      </c>
      <c r="HO89" t="e">
        <f>AND(#REF!,"AAAAAD/3/94=")</f>
        <v>#REF!</v>
      </c>
      <c r="HP89" t="e">
        <f>AND(#REF!,"AAAAAD/3/98=")</f>
        <v>#REF!</v>
      </c>
      <c r="HQ89" t="e">
        <f>AND(#REF!,"AAAAAD/3/+A=")</f>
        <v>#REF!</v>
      </c>
      <c r="HR89" t="e">
        <f>AND(#REF!,"AAAAAD/3/+E=")</f>
        <v>#REF!</v>
      </c>
      <c r="HS89" t="e">
        <f>AND(#REF!,"AAAAAD/3/+I=")</f>
        <v>#REF!</v>
      </c>
      <c r="HT89" t="e">
        <f>AND(#REF!,"AAAAAD/3/+M=")</f>
        <v>#REF!</v>
      </c>
      <c r="HU89" t="e">
        <f>AND(#REF!,"AAAAAD/3/+Q=")</f>
        <v>#REF!</v>
      </c>
      <c r="HV89" t="e">
        <f>AND(#REF!,"AAAAAD/3/+U=")</f>
        <v>#REF!</v>
      </c>
      <c r="HW89" t="e">
        <f>AND(#REF!,"AAAAAD/3/+Y=")</f>
        <v>#REF!</v>
      </c>
      <c r="HX89" t="e">
        <f>AND(#REF!,"AAAAAD/3/+c=")</f>
        <v>#REF!</v>
      </c>
      <c r="HY89" t="e">
        <f>AND(#REF!,"AAAAAD/3/+g=")</f>
        <v>#REF!</v>
      </c>
      <c r="HZ89" t="e">
        <f>AND(#REF!,"AAAAAD/3/+k=")</f>
        <v>#REF!</v>
      </c>
      <c r="IA89" t="e">
        <f>AND(#REF!,"AAAAAD/3/+o=")</f>
        <v>#REF!</v>
      </c>
      <c r="IB89" t="e">
        <f>AND(#REF!,"AAAAAD/3/+s=")</f>
        <v>#REF!</v>
      </c>
      <c r="IC89" t="e">
        <f>AND(#REF!,"AAAAAD/3/+w=")</f>
        <v>#REF!</v>
      </c>
      <c r="ID89" t="e">
        <f>AND(#REF!,"AAAAAD/3/+0=")</f>
        <v>#REF!</v>
      </c>
      <c r="IE89" t="e">
        <f>AND(#REF!,"AAAAAD/3/+4=")</f>
        <v>#REF!</v>
      </c>
      <c r="IF89" t="e">
        <f>AND(#REF!,"AAAAAD/3/+8=")</f>
        <v>#REF!</v>
      </c>
      <c r="IG89" t="e">
        <f>AND(#REF!,"AAAAAD/3//A=")</f>
        <v>#REF!</v>
      </c>
      <c r="IH89" t="e">
        <f>AND(#REF!,"AAAAAD/3//E=")</f>
        <v>#REF!</v>
      </c>
      <c r="II89" t="e">
        <f>AND(#REF!,"AAAAAD/3//I=")</f>
        <v>#REF!</v>
      </c>
      <c r="IJ89" t="e">
        <f>AND(#REF!,"AAAAAD/3//M=")</f>
        <v>#REF!</v>
      </c>
      <c r="IK89" t="e">
        <f>AND(#REF!,"AAAAAD/3//Q=")</f>
        <v>#REF!</v>
      </c>
      <c r="IL89" t="e">
        <f>IF(#REF!,"AAAAAD/3//U=",0)</f>
        <v>#REF!</v>
      </c>
      <c r="IM89" t="e">
        <f>AND(#REF!,"AAAAAD/3//Y=")</f>
        <v>#REF!</v>
      </c>
      <c r="IN89" t="e">
        <f>AND(#REF!,"AAAAAD/3//c=")</f>
        <v>#REF!</v>
      </c>
      <c r="IO89" t="e">
        <f>AND(#REF!,"AAAAAD/3//g=")</f>
        <v>#REF!</v>
      </c>
      <c r="IP89" t="e">
        <f>AND(#REF!,"AAAAAD/3//k=")</f>
        <v>#REF!</v>
      </c>
      <c r="IQ89" t="e">
        <f>AND(#REF!,"AAAAAD/3//o=")</f>
        <v>#REF!</v>
      </c>
      <c r="IR89" t="e">
        <f>AND(#REF!,"AAAAAD/3//s=")</f>
        <v>#REF!</v>
      </c>
      <c r="IS89" t="e">
        <f>AND(#REF!,"AAAAAD/3//w=")</f>
        <v>#REF!</v>
      </c>
      <c r="IT89" t="e">
        <f>AND(#REF!,"AAAAAD/3//0=")</f>
        <v>#REF!</v>
      </c>
      <c r="IU89" t="e">
        <f>AND(#REF!,"AAAAAD/3//4=")</f>
        <v>#REF!</v>
      </c>
      <c r="IV89" t="e">
        <f>AND(#REF!,"AAAAAD/3//8=")</f>
        <v>#REF!</v>
      </c>
    </row>
    <row r="90" spans="1:256">
      <c r="A90" t="e">
        <f>AND(#REF!,"AAAAAD/z3wA=")</f>
        <v>#REF!</v>
      </c>
      <c r="B90" t="e">
        <f>AND(#REF!,"AAAAAD/z3wE=")</f>
        <v>#REF!</v>
      </c>
      <c r="C90" t="e">
        <f>AND(#REF!,"AAAAAD/z3wI=")</f>
        <v>#REF!</v>
      </c>
      <c r="D90" t="e">
        <f>AND(#REF!,"AAAAAD/z3wM=")</f>
        <v>#REF!</v>
      </c>
      <c r="E90" t="e">
        <f>AND(#REF!,"AAAAAD/z3wQ=")</f>
        <v>#REF!</v>
      </c>
      <c r="F90" t="e">
        <f>AND(#REF!,"AAAAAD/z3wU=")</f>
        <v>#REF!</v>
      </c>
      <c r="G90" t="e">
        <f>AND(#REF!,"AAAAAD/z3wY=")</f>
        <v>#REF!</v>
      </c>
      <c r="H90" t="e">
        <f>AND(#REF!,"AAAAAD/z3wc=")</f>
        <v>#REF!</v>
      </c>
      <c r="I90" t="e">
        <f>AND(#REF!,"AAAAAD/z3wg=")</f>
        <v>#REF!</v>
      </c>
      <c r="J90" t="e">
        <f>AND(#REF!,"AAAAAD/z3wk=")</f>
        <v>#REF!</v>
      </c>
      <c r="K90" t="e">
        <f>AND(#REF!,"AAAAAD/z3wo=")</f>
        <v>#REF!</v>
      </c>
      <c r="L90" t="e">
        <f>AND(#REF!,"AAAAAD/z3ws=")</f>
        <v>#REF!</v>
      </c>
      <c r="M90" t="e">
        <f>AND(#REF!,"AAAAAD/z3ww=")</f>
        <v>#REF!</v>
      </c>
      <c r="N90" t="e">
        <f>AND(#REF!,"AAAAAD/z3w0=")</f>
        <v>#REF!</v>
      </c>
      <c r="O90" t="e">
        <f>AND(#REF!,"AAAAAD/z3w4=")</f>
        <v>#REF!</v>
      </c>
      <c r="P90" t="e">
        <f>AND(#REF!,"AAAAAD/z3w8=")</f>
        <v>#REF!</v>
      </c>
      <c r="Q90" t="e">
        <f>AND(#REF!,"AAAAAD/z3xA=")</f>
        <v>#REF!</v>
      </c>
      <c r="R90" t="e">
        <f>AND(#REF!,"AAAAAD/z3xE=")</f>
        <v>#REF!</v>
      </c>
      <c r="S90" t="e">
        <f>AND(#REF!,"AAAAAD/z3xI=")</f>
        <v>#REF!</v>
      </c>
      <c r="T90" t="e">
        <f>AND(#REF!,"AAAAAD/z3xM=")</f>
        <v>#REF!</v>
      </c>
      <c r="U90" t="e">
        <f>AND(#REF!,"AAAAAD/z3xQ=")</f>
        <v>#REF!</v>
      </c>
      <c r="V90" t="e">
        <f>AND(#REF!,"AAAAAD/z3xU=")</f>
        <v>#REF!</v>
      </c>
      <c r="W90" t="e">
        <f>AND(#REF!,"AAAAAD/z3xY=")</f>
        <v>#REF!</v>
      </c>
      <c r="X90" t="e">
        <f>AND(#REF!,"AAAAAD/z3xc=")</f>
        <v>#REF!</v>
      </c>
      <c r="Y90" t="e">
        <f>AND(#REF!,"AAAAAD/z3xg=")</f>
        <v>#REF!</v>
      </c>
      <c r="Z90" t="e">
        <f>AND(#REF!,"AAAAAD/z3xk=")</f>
        <v>#REF!</v>
      </c>
      <c r="AA90" t="e">
        <f>AND(#REF!,"AAAAAD/z3xo=")</f>
        <v>#REF!</v>
      </c>
      <c r="AB90" t="e">
        <f>AND(#REF!,"AAAAAD/z3xs=")</f>
        <v>#REF!</v>
      </c>
      <c r="AC90" t="e">
        <f>AND(#REF!,"AAAAAD/z3xw=")</f>
        <v>#REF!</v>
      </c>
      <c r="AD90" t="e">
        <f>AND(#REF!,"AAAAAD/z3x0=")</f>
        <v>#REF!</v>
      </c>
      <c r="AE90" t="e">
        <f>AND(#REF!,"AAAAAD/z3x4=")</f>
        <v>#REF!</v>
      </c>
      <c r="AF90" t="e">
        <f>IF(#REF!,"AAAAAD/z3x8=",0)</f>
        <v>#REF!</v>
      </c>
      <c r="AG90" t="e">
        <f>AND(#REF!,"AAAAAD/z3yA=")</f>
        <v>#REF!</v>
      </c>
      <c r="AH90" t="e">
        <f>AND(#REF!,"AAAAAD/z3yE=")</f>
        <v>#REF!</v>
      </c>
      <c r="AI90" t="e">
        <f>AND(#REF!,"AAAAAD/z3yI=")</f>
        <v>#REF!</v>
      </c>
      <c r="AJ90" t="e">
        <f>AND(#REF!,"AAAAAD/z3yM=")</f>
        <v>#REF!</v>
      </c>
      <c r="AK90" t="e">
        <f>AND(#REF!,"AAAAAD/z3yQ=")</f>
        <v>#REF!</v>
      </c>
      <c r="AL90" t="e">
        <f>AND(#REF!,"AAAAAD/z3yU=")</f>
        <v>#REF!</v>
      </c>
      <c r="AM90" t="e">
        <f>AND(#REF!,"AAAAAD/z3yY=")</f>
        <v>#REF!</v>
      </c>
      <c r="AN90" t="e">
        <f>AND(#REF!,"AAAAAD/z3yc=")</f>
        <v>#REF!</v>
      </c>
      <c r="AO90" t="e">
        <f>AND(#REF!,"AAAAAD/z3yg=")</f>
        <v>#REF!</v>
      </c>
      <c r="AP90" t="e">
        <f>AND(#REF!,"AAAAAD/z3yk=")</f>
        <v>#REF!</v>
      </c>
      <c r="AQ90" t="e">
        <f>AND(#REF!,"AAAAAD/z3yo=")</f>
        <v>#REF!</v>
      </c>
      <c r="AR90" t="e">
        <f>AND(#REF!,"AAAAAD/z3ys=")</f>
        <v>#REF!</v>
      </c>
      <c r="AS90" t="e">
        <f>AND(#REF!,"AAAAAD/z3yw=")</f>
        <v>#REF!</v>
      </c>
      <c r="AT90" t="e">
        <f>AND(#REF!,"AAAAAD/z3y0=")</f>
        <v>#REF!</v>
      </c>
      <c r="AU90" t="e">
        <f>AND(#REF!,"AAAAAD/z3y4=")</f>
        <v>#REF!</v>
      </c>
      <c r="AV90" t="e">
        <f>AND(#REF!,"AAAAAD/z3y8=")</f>
        <v>#REF!</v>
      </c>
      <c r="AW90" t="e">
        <f>AND(#REF!,"AAAAAD/z3zA=")</f>
        <v>#REF!</v>
      </c>
      <c r="AX90" t="e">
        <f>AND(#REF!,"AAAAAD/z3zE=")</f>
        <v>#REF!</v>
      </c>
      <c r="AY90" t="e">
        <f>AND(#REF!,"AAAAAD/z3zI=")</f>
        <v>#REF!</v>
      </c>
      <c r="AZ90" t="e">
        <f>AND(#REF!,"AAAAAD/z3zM=")</f>
        <v>#REF!</v>
      </c>
      <c r="BA90" t="e">
        <f>AND(#REF!,"AAAAAD/z3zQ=")</f>
        <v>#REF!</v>
      </c>
      <c r="BB90" t="e">
        <f>AND(#REF!,"AAAAAD/z3zU=")</f>
        <v>#REF!</v>
      </c>
      <c r="BC90" t="e">
        <f>AND(#REF!,"AAAAAD/z3zY=")</f>
        <v>#REF!</v>
      </c>
      <c r="BD90" t="e">
        <f>AND(#REF!,"AAAAAD/z3zc=")</f>
        <v>#REF!</v>
      </c>
      <c r="BE90" t="e">
        <f>AND(#REF!,"AAAAAD/z3zg=")</f>
        <v>#REF!</v>
      </c>
      <c r="BF90" t="e">
        <f>AND(#REF!,"AAAAAD/z3zk=")</f>
        <v>#REF!</v>
      </c>
      <c r="BG90" t="e">
        <f>AND(#REF!,"AAAAAD/z3zo=")</f>
        <v>#REF!</v>
      </c>
      <c r="BH90" t="e">
        <f>AND(#REF!,"AAAAAD/z3zs=")</f>
        <v>#REF!</v>
      </c>
      <c r="BI90" t="e">
        <f>AND(#REF!,"AAAAAD/z3zw=")</f>
        <v>#REF!</v>
      </c>
      <c r="BJ90" t="e">
        <f>AND(#REF!,"AAAAAD/z3z0=")</f>
        <v>#REF!</v>
      </c>
      <c r="BK90" t="e">
        <f>AND(#REF!,"AAAAAD/z3z4=")</f>
        <v>#REF!</v>
      </c>
      <c r="BL90" t="e">
        <f>AND(#REF!,"AAAAAD/z3z8=")</f>
        <v>#REF!</v>
      </c>
      <c r="BM90" t="e">
        <f>AND(#REF!,"AAAAAD/z30A=")</f>
        <v>#REF!</v>
      </c>
      <c r="BN90" t="e">
        <f>AND(#REF!,"AAAAAD/z30E=")</f>
        <v>#REF!</v>
      </c>
      <c r="BO90" t="e">
        <f>AND(#REF!,"AAAAAD/z30I=")</f>
        <v>#REF!</v>
      </c>
      <c r="BP90" t="e">
        <f>AND(#REF!,"AAAAAD/z30M=")</f>
        <v>#REF!</v>
      </c>
      <c r="BQ90" t="e">
        <f>AND(#REF!,"AAAAAD/z30Q=")</f>
        <v>#REF!</v>
      </c>
      <c r="BR90" t="e">
        <f>AND(#REF!,"AAAAAD/z30U=")</f>
        <v>#REF!</v>
      </c>
      <c r="BS90" t="e">
        <f>AND(#REF!,"AAAAAD/z30Y=")</f>
        <v>#REF!</v>
      </c>
      <c r="BT90" t="e">
        <f>AND(#REF!,"AAAAAD/z30c=")</f>
        <v>#REF!</v>
      </c>
      <c r="BU90" t="e">
        <f>AND(#REF!,"AAAAAD/z30g=")</f>
        <v>#REF!</v>
      </c>
      <c r="BV90" t="e">
        <f>IF(#REF!,"AAAAAD/z30k=",0)</f>
        <v>#REF!</v>
      </c>
      <c r="BW90" t="e">
        <f>AND(#REF!,"AAAAAD/z30o=")</f>
        <v>#REF!</v>
      </c>
      <c r="BX90" t="e">
        <f>AND(#REF!,"AAAAAD/z30s=")</f>
        <v>#REF!</v>
      </c>
      <c r="BY90" t="e">
        <f>AND(#REF!,"AAAAAD/z30w=")</f>
        <v>#REF!</v>
      </c>
      <c r="BZ90" t="e">
        <f>AND(#REF!,"AAAAAD/z300=")</f>
        <v>#REF!</v>
      </c>
      <c r="CA90" t="e">
        <f>AND(#REF!,"AAAAAD/z304=")</f>
        <v>#REF!</v>
      </c>
      <c r="CB90" t="e">
        <f>AND(#REF!,"AAAAAD/z308=")</f>
        <v>#REF!</v>
      </c>
      <c r="CC90" t="e">
        <f>AND(#REF!,"AAAAAD/z31A=")</f>
        <v>#REF!</v>
      </c>
      <c r="CD90" t="e">
        <f>AND(#REF!,"AAAAAD/z31E=")</f>
        <v>#REF!</v>
      </c>
      <c r="CE90" t="e">
        <f>AND(#REF!,"AAAAAD/z31I=")</f>
        <v>#REF!</v>
      </c>
      <c r="CF90" t="e">
        <f>AND(#REF!,"AAAAAD/z31M=")</f>
        <v>#REF!</v>
      </c>
      <c r="CG90" t="e">
        <f>AND(#REF!,"AAAAAD/z31Q=")</f>
        <v>#REF!</v>
      </c>
      <c r="CH90" t="e">
        <f>AND(#REF!,"AAAAAD/z31U=")</f>
        <v>#REF!</v>
      </c>
      <c r="CI90" t="e">
        <f>AND(#REF!,"AAAAAD/z31Y=")</f>
        <v>#REF!</v>
      </c>
      <c r="CJ90" t="e">
        <f>AND(#REF!,"AAAAAD/z31c=")</f>
        <v>#REF!</v>
      </c>
      <c r="CK90" t="e">
        <f>AND(#REF!,"AAAAAD/z31g=")</f>
        <v>#REF!</v>
      </c>
      <c r="CL90" t="e">
        <f>AND(#REF!,"AAAAAD/z31k=")</f>
        <v>#REF!</v>
      </c>
      <c r="CM90" t="e">
        <f>AND(#REF!,"AAAAAD/z31o=")</f>
        <v>#REF!</v>
      </c>
      <c r="CN90" t="e">
        <f>AND(#REF!,"AAAAAD/z31s=")</f>
        <v>#REF!</v>
      </c>
      <c r="CO90" t="e">
        <f>AND(#REF!,"AAAAAD/z31w=")</f>
        <v>#REF!</v>
      </c>
      <c r="CP90" t="e">
        <f>AND(#REF!,"AAAAAD/z310=")</f>
        <v>#REF!</v>
      </c>
      <c r="CQ90" t="e">
        <f>AND(#REF!,"AAAAAD/z314=")</f>
        <v>#REF!</v>
      </c>
      <c r="CR90" t="e">
        <f>AND(#REF!,"AAAAAD/z318=")</f>
        <v>#REF!</v>
      </c>
      <c r="CS90" t="e">
        <f>AND(#REF!,"AAAAAD/z32A=")</f>
        <v>#REF!</v>
      </c>
      <c r="CT90" t="e">
        <f>AND(#REF!,"AAAAAD/z32E=")</f>
        <v>#REF!</v>
      </c>
      <c r="CU90" t="e">
        <f>AND(#REF!,"AAAAAD/z32I=")</f>
        <v>#REF!</v>
      </c>
      <c r="CV90" t="e">
        <f>AND(#REF!,"AAAAAD/z32M=")</f>
        <v>#REF!</v>
      </c>
      <c r="CW90" t="e">
        <f>AND(#REF!,"AAAAAD/z32Q=")</f>
        <v>#REF!</v>
      </c>
      <c r="CX90" t="e">
        <f>AND(#REF!,"AAAAAD/z32U=")</f>
        <v>#REF!</v>
      </c>
      <c r="CY90" t="e">
        <f>AND(#REF!,"AAAAAD/z32Y=")</f>
        <v>#REF!</v>
      </c>
      <c r="CZ90" t="e">
        <f>AND(#REF!,"AAAAAD/z32c=")</f>
        <v>#REF!</v>
      </c>
      <c r="DA90" t="e">
        <f>AND(#REF!,"AAAAAD/z32g=")</f>
        <v>#REF!</v>
      </c>
      <c r="DB90" t="e">
        <f>AND(#REF!,"AAAAAD/z32k=")</f>
        <v>#REF!</v>
      </c>
      <c r="DC90" t="e">
        <f>AND(#REF!,"AAAAAD/z32o=")</f>
        <v>#REF!</v>
      </c>
      <c r="DD90" t="e">
        <f>AND(#REF!,"AAAAAD/z32s=")</f>
        <v>#REF!</v>
      </c>
      <c r="DE90" t="e">
        <f>AND(#REF!,"AAAAAD/z32w=")</f>
        <v>#REF!</v>
      </c>
      <c r="DF90" t="e">
        <f>AND(#REF!,"AAAAAD/z320=")</f>
        <v>#REF!</v>
      </c>
      <c r="DG90" t="e">
        <f>AND(#REF!,"AAAAAD/z324=")</f>
        <v>#REF!</v>
      </c>
      <c r="DH90" t="e">
        <f>AND(#REF!,"AAAAAD/z328=")</f>
        <v>#REF!</v>
      </c>
      <c r="DI90" t="e">
        <f>AND(#REF!,"AAAAAD/z33A=")</f>
        <v>#REF!</v>
      </c>
      <c r="DJ90" t="e">
        <f>AND(#REF!,"AAAAAD/z33E=")</f>
        <v>#REF!</v>
      </c>
      <c r="DK90" t="e">
        <f>AND(#REF!,"AAAAAD/z33I=")</f>
        <v>#REF!</v>
      </c>
      <c r="DL90" t="e">
        <f>IF(#REF!,"AAAAAD/z33M=",0)</f>
        <v>#REF!</v>
      </c>
      <c r="DM90" t="e">
        <f>AND(#REF!,"AAAAAD/z33Q=")</f>
        <v>#REF!</v>
      </c>
      <c r="DN90" t="e">
        <f>AND(#REF!,"AAAAAD/z33U=")</f>
        <v>#REF!</v>
      </c>
      <c r="DO90" t="e">
        <f>AND(#REF!,"AAAAAD/z33Y=")</f>
        <v>#REF!</v>
      </c>
      <c r="DP90" t="e">
        <f>AND(#REF!,"AAAAAD/z33c=")</f>
        <v>#REF!</v>
      </c>
      <c r="DQ90" t="e">
        <f>AND(#REF!,"AAAAAD/z33g=")</f>
        <v>#REF!</v>
      </c>
      <c r="DR90" t="e">
        <f>AND(#REF!,"AAAAAD/z33k=")</f>
        <v>#REF!</v>
      </c>
      <c r="DS90" t="e">
        <f>AND(#REF!,"AAAAAD/z33o=")</f>
        <v>#REF!</v>
      </c>
      <c r="DT90" t="e">
        <f>AND(#REF!,"AAAAAD/z33s=")</f>
        <v>#REF!</v>
      </c>
      <c r="DU90" t="e">
        <f>AND(#REF!,"AAAAAD/z33w=")</f>
        <v>#REF!</v>
      </c>
      <c r="DV90" t="e">
        <f>AND(#REF!,"AAAAAD/z330=")</f>
        <v>#REF!</v>
      </c>
      <c r="DW90" t="e">
        <f>AND(#REF!,"AAAAAD/z334=")</f>
        <v>#REF!</v>
      </c>
      <c r="DX90" t="e">
        <f>AND(#REF!,"AAAAAD/z338=")</f>
        <v>#REF!</v>
      </c>
      <c r="DY90" t="e">
        <f>AND(#REF!,"AAAAAD/z34A=")</f>
        <v>#REF!</v>
      </c>
      <c r="DZ90" t="e">
        <f>AND(#REF!,"AAAAAD/z34E=")</f>
        <v>#REF!</v>
      </c>
      <c r="EA90" t="e">
        <f>AND(#REF!,"AAAAAD/z34I=")</f>
        <v>#REF!</v>
      </c>
      <c r="EB90" t="e">
        <f>AND(#REF!,"AAAAAD/z34M=")</f>
        <v>#REF!</v>
      </c>
      <c r="EC90" t="e">
        <f>AND(#REF!,"AAAAAD/z34Q=")</f>
        <v>#REF!</v>
      </c>
      <c r="ED90" t="e">
        <f>AND(#REF!,"AAAAAD/z34U=")</f>
        <v>#REF!</v>
      </c>
      <c r="EE90" t="e">
        <f>AND(#REF!,"AAAAAD/z34Y=")</f>
        <v>#REF!</v>
      </c>
      <c r="EF90" t="e">
        <f>AND(#REF!,"AAAAAD/z34c=")</f>
        <v>#REF!</v>
      </c>
      <c r="EG90" t="e">
        <f>AND(#REF!,"AAAAAD/z34g=")</f>
        <v>#REF!</v>
      </c>
      <c r="EH90" t="e">
        <f>AND(#REF!,"AAAAAD/z34k=")</f>
        <v>#REF!</v>
      </c>
      <c r="EI90" t="e">
        <f>AND(#REF!,"AAAAAD/z34o=")</f>
        <v>#REF!</v>
      </c>
      <c r="EJ90" t="e">
        <f>AND(#REF!,"AAAAAD/z34s=")</f>
        <v>#REF!</v>
      </c>
      <c r="EK90" t="e">
        <f>AND(#REF!,"AAAAAD/z34w=")</f>
        <v>#REF!</v>
      </c>
      <c r="EL90" t="e">
        <f>AND(#REF!,"AAAAAD/z340=")</f>
        <v>#REF!</v>
      </c>
      <c r="EM90" t="e">
        <f>AND(#REF!,"AAAAAD/z344=")</f>
        <v>#REF!</v>
      </c>
      <c r="EN90" t="e">
        <f>AND(#REF!,"AAAAAD/z348=")</f>
        <v>#REF!</v>
      </c>
      <c r="EO90" t="e">
        <f>AND(#REF!,"AAAAAD/z35A=")</f>
        <v>#REF!</v>
      </c>
      <c r="EP90" t="e">
        <f>AND(#REF!,"AAAAAD/z35E=")</f>
        <v>#REF!</v>
      </c>
      <c r="EQ90" t="e">
        <f>AND(#REF!,"AAAAAD/z35I=")</f>
        <v>#REF!</v>
      </c>
      <c r="ER90" t="e">
        <f>AND(#REF!,"AAAAAD/z35M=")</f>
        <v>#REF!</v>
      </c>
      <c r="ES90" t="e">
        <f>AND(#REF!,"AAAAAD/z35Q=")</f>
        <v>#REF!</v>
      </c>
      <c r="ET90" t="e">
        <f>AND(#REF!,"AAAAAD/z35U=")</f>
        <v>#REF!</v>
      </c>
      <c r="EU90" t="e">
        <f>AND(#REF!,"AAAAAD/z35Y=")</f>
        <v>#REF!</v>
      </c>
      <c r="EV90" t="e">
        <f>AND(#REF!,"AAAAAD/z35c=")</f>
        <v>#REF!</v>
      </c>
      <c r="EW90" t="e">
        <f>AND(#REF!,"AAAAAD/z35g=")</f>
        <v>#REF!</v>
      </c>
      <c r="EX90" t="e">
        <f>AND(#REF!,"AAAAAD/z35k=")</f>
        <v>#REF!</v>
      </c>
      <c r="EY90" t="e">
        <f>AND(#REF!,"AAAAAD/z35o=")</f>
        <v>#REF!</v>
      </c>
      <c r="EZ90" t="e">
        <f>AND(#REF!,"AAAAAD/z35s=")</f>
        <v>#REF!</v>
      </c>
      <c r="FA90" t="e">
        <f>AND(#REF!,"AAAAAD/z35w=")</f>
        <v>#REF!</v>
      </c>
      <c r="FB90" t="e">
        <f>IF(#REF!,"AAAAAD/z350=",0)</f>
        <v>#REF!</v>
      </c>
      <c r="FC90" t="e">
        <f>AND(#REF!,"AAAAAD/z354=")</f>
        <v>#REF!</v>
      </c>
      <c r="FD90" t="e">
        <f>AND(#REF!,"AAAAAD/z358=")</f>
        <v>#REF!</v>
      </c>
      <c r="FE90" t="e">
        <f>AND(#REF!,"AAAAAD/z36A=")</f>
        <v>#REF!</v>
      </c>
      <c r="FF90" t="e">
        <f>AND(#REF!,"AAAAAD/z36E=")</f>
        <v>#REF!</v>
      </c>
      <c r="FG90" t="e">
        <f>AND(#REF!,"AAAAAD/z36I=")</f>
        <v>#REF!</v>
      </c>
      <c r="FH90" t="e">
        <f>AND(#REF!,"AAAAAD/z36M=")</f>
        <v>#REF!</v>
      </c>
      <c r="FI90" t="e">
        <f>AND(#REF!,"AAAAAD/z36Q=")</f>
        <v>#REF!</v>
      </c>
      <c r="FJ90" t="e">
        <f>AND(#REF!,"AAAAAD/z36U=")</f>
        <v>#REF!</v>
      </c>
      <c r="FK90" t="e">
        <f>AND(#REF!,"AAAAAD/z36Y=")</f>
        <v>#REF!</v>
      </c>
      <c r="FL90" t="e">
        <f>AND(#REF!,"AAAAAD/z36c=")</f>
        <v>#REF!</v>
      </c>
      <c r="FM90" t="e">
        <f>AND(#REF!,"AAAAAD/z36g=")</f>
        <v>#REF!</v>
      </c>
      <c r="FN90" t="e">
        <f>AND(#REF!,"AAAAAD/z36k=")</f>
        <v>#REF!</v>
      </c>
      <c r="FO90" t="e">
        <f>AND(#REF!,"AAAAAD/z36o=")</f>
        <v>#REF!</v>
      </c>
      <c r="FP90" t="e">
        <f>AND(#REF!,"AAAAAD/z36s=")</f>
        <v>#REF!</v>
      </c>
      <c r="FQ90" t="e">
        <f>AND(#REF!,"AAAAAD/z36w=")</f>
        <v>#REF!</v>
      </c>
      <c r="FR90" t="e">
        <f>AND(#REF!,"AAAAAD/z360=")</f>
        <v>#REF!</v>
      </c>
      <c r="FS90" t="e">
        <f>AND(#REF!,"AAAAAD/z364=")</f>
        <v>#REF!</v>
      </c>
      <c r="FT90" t="e">
        <f>AND(#REF!,"AAAAAD/z368=")</f>
        <v>#REF!</v>
      </c>
      <c r="FU90" t="e">
        <f>AND(#REF!,"AAAAAD/z37A=")</f>
        <v>#REF!</v>
      </c>
      <c r="FV90" t="e">
        <f>AND(#REF!,"AAAAAD/z37E=")</f>
        <v>#REF!</v>
      </c>
      <c r="FW90" t="e">
        <f>AND(#REF!,"AAAAAD/z37I=")</f>
        <v>#REF!</v>
      </c>
      <c r="FX90" t="e">
        <f>AND(#REF!,"AAAAAD/z37M=")</f>
        <v>#REF!</v>
      </c>
      <c r="FY90" t="e">
        <f>AND(#REF!,"AAAAAD/z37Q=")</f>
        <v>#REF!</v>
      </c>
      <c r="FZ90" t="e">
        <f>AND(#REF!,"AAAAAD/z37U=")</f>
        <v>#REF!</v>
      </c>
      <c r="GA90" t="e">
        <f>AND(#REF!,"AAAAAD/z37Y=")</f>
        <v>#REF!</v>
      </c>
      <c r="GB90" t="e">
        <f>AND(#REF!,"AAAAAD/z37c=")</f>
        <v>#REF!</v>
      </c>
      <c r="GC90" t="e">
        <f>AND(#REF!,"AAAAAD/z37g=")</f>
        <v>#REF!</v>
      </c>
      <c r="GD90" t="e">
        <f>AND(#REF!,"AAAAAD/z37k=")</f>
        <v>#REF!</v>
      </c>
      <c r="GE90" t="e">
        <f>AND(#REF!,"AAAAAD/z37o=")</f>
        <v>#REF!</v>
      </c>
      <c r="GF90" t="e">
        <f>AND(#REF!,"AAAAAD/z37s=")</f>
        <v>#REF!</v>
      </c>
      <c r="GG90" t="e">
        <f>AND(#REF!,"AAAAAD/z37w=")</f>
        <v>#REF!</v>
      </c>
      <c r="GH90" t="e">
        <f>AND(#REF!,"AAAAAD/z370=")</f>
        <v>#REF!</v>
      </c>
      <c r="GI90" t="e">
        <f>AND(#REF!,"AAAAAD/z374=")</f>
        <v>#REF!</v>
      </c>
      <c r="GJ90" t="e">
        <f>AND(#REF!,"AAAAAD/z378=")</f>
        <v>#REF!</v>
      </c>
      <c r="GK90" t="e">
        <f>AND(#REF!,"AAAAAD/z38A=")</f>
        <v>#REF!</v>
      </c>
      <c r="GL90" t="e">
        <f>AND(#REF!,"AAAAAD/z38E=")</f>
        <v>#REF!</v>
      </c>
      <c r="GM90" t="e">
        <f>AND(#REF!,"AAAAAD/z38I=")</f>
        <v>#REF!</v>
      </c>
      <c r="GN90" t="e">
        <f>AND(#REF!,"AAAAAD/z38M=")</f>
        <v>#REF!</v>
      </c>
      <c r="GO90" t="e">
        <f>AND(#REF!,"AAAAAD/z38Q=")</f>
        <v>#REF!</v>
      </c>
      <c r="GP90" t="e">
        <f>AND(#REF!,"AAAAAD/z38U=")</f>
        <v>#REF!</v>
      </c>
      <c r="GQ90" t="e">
        <f>AND(#REF!,"AAAAAD/z38Y=")</f>
        <v>#REF!</v>
      </c>
      <c r="GR90" t="e">
        <f>IF(#REF!,"AAAAAD/z38c=",0)</f>
        <v>#REF!</v>
      </c>
      <c r="GS90" t="e">
        <f>AND(#REF!,"AAAAAD/z38g=")</f>
        <v>#REF!</v>
      </c>
      <c r="GT90" t="e">
        <f>AND(#REF!,"AAAAAD/z38k=")</f>
        <v>#REF!</v>
      </c>
      <c r="GU90" t="e">
        <f>AND(#REF!,"AAAAAD/z38o=")</f>
        <v>#REF!</v>
      </c>
      <c r="GV90" t="e">
        <f>AND(#REF!,"AAAAAD/z38s=")</f>
        <v>#REF!</v>
      </c>
      <c r="GW90" t="e">
        <f>AND(#REF!,"AAAAAD/z38w=")</f>
        <v>#REF!</v>
      </c>
      <c r="GX90" t="e">
        <f>AND(#REF!,"AAAAAD/z380=")</f>
        <v>#REF!</v>
      </c>
      <c r="GY90" t="e">
        <f>AND(#REF!,"AAAAAD/z384=")</f>
        <v>#REF!</v>
      </c>
      <c r="GZ90" t="e">
        <f>AND(#REF!,"AAAAAD/z388=")</f>
        <v>#REF!</v>
      </c>
      <c r="HA90" t="e">
        <f>AND(#REF!,"AAAAAD/z39A=")</f>
        <v>#REF!</v>
      </c>
      <c r="HB90" t="e">
        <f>AND(#REF!,"AAAAAD/z39E=")</f>
        <v>#REF!</v>
      </c>
      <c r="HC90" t="e">
        <f>AND(#REF!,"AAAAAD/z39I=")</f>
        <v>#REF!</v>
      </c>
      <c r="HD90" t="e">
        <f>AND(#REF!,"AAAAAD/z39M=")</f>
        <v>#REF!</v>
      </c>
      <c r="HE90" t="e">
        <f>AND(#REF!,"AAAAAD/z39Q=")</f>
        <v>#REF!</v>
      </c>
      <c r="HF90" t="e">
        <f>AND(#REF!,"AAAAAD/z39U=")</f>
        <v>#REF!</v>
      </c>
      <c r="HG90" t="e">
        <f>AND(#REF!,"AAAAAD/z39Y=")</f>
        <v>#REF!</v>
      </c>
      <c r="HH90" t="e">
        <f>AND(#REF!,"AAAAAD/z39c=")</f>
        <v>#REF!</v>
      </c>
      <c r="HI90" t="e">
        <f>AND(#REF!,"AAAAAD/z39g=")</f>
        <v>#REF!</v>
      </c>
      <c r="HJ90" t="e">
        <f>AND(#REF!,"AAAAAD/z39k=")</f>
        <v>#REF!</v>
      </c>
      <c r="HK90" t="e">
        <f>AND(#REF!,"AAAAAD/z39o=")</f>
        <v>#REF!</v>
      </c>
      <c r="HL90" t="e">
        <f>AND(#REF!,"AAAAAD/z39s=")</f>
        <v>#REF!</v>
      </c>
      <c r="HM90" t="e">
        <f>AND(#REF!,"AAAAAD/z39w=")</f>
        <v>#REF!</v>
      </c>
      <c r="HN90" t="e">
        <f>AND(#REF!,"AAAAAD/z390=")</f>
        <v>#REF!</v>
      </c>
      <c r="HO90" t="e">
        <f>AND(#REF!,"AAAAAD/z394=")</f>
        <v>#REF!</v>
      </c>
      <c r="HP90" t="e">
        <f>AND(#REF!,"AAAAAD/z398=")</f>
        <v>#REF!</v>
      </c>
      <c r="HQ90" t="e">
        <f>AND(#REF!,"AAAAAD/z3+A=")</f>
        <v>#REF!</v>
      </c>
      <c r="HR90" t="e">
        <f>AND(#REF!,"AAAAAD/z3+E=")</f>
        <v>#REF!</v>
      </c>
      <c r="HS90" t="e">
        <f>AND(#REF!,"AAAAAD/z3+I=")</f>
        <v>#REF!</v>
      </c>
      <c r="HT90" t="e">
        <f>AND(#REF!,"AAAAAD/z3+M=")</f>
        <v>#REF!</v>
      </c>
      <c r="HU90" t="e">
        <f>AND(#REF!,"AAAAAD/z3+Q=")</f>
        <v>#REF!</v>
      </c>
      <c r="HV90" t="e">
        <f>AND(#REF!,"AAAAAD/z3+U=")</f>
        <v>#REF!</v>
      </c>
      <c r="HW90" t="e">
        <f>AND(#REF!,"AAAAAD/z3+Y=")</f>
        <v>#REF!</v>
      </c>
      <c r="HX90" t="e">
        <f>AND(#REF!,"AAAAAD/z3+c=")</f>
        <v>#REF!</v>
      </c>
      <c r="HY90" t="e">
        <f>AND(#REF!,"AAAAAD/z3+g=")</f>
        <v>#REF!</v>
      </c>
      <c r="HZ90" t="e">
        <f>AND(#REF!,"AAAAAD/z3+k=")</f>
        <v>#REF!</v>
      </c>
      <c r="IA90" t="e">
        <f>AND(#REF!,"AAAAAD/z3+o=")</f>
        <v>#REF!</v>
      </c>
      <c r="IB90" t="e">
        <f>AND(#REF!,"AAAAAD/z3+s=")</f>
        <v>#REF!</v>
      </c>
      <c r="IC90" t="e">
        <f>AND(#REF!,"AAAAAD/z3+w=")</f>
        <v>#REF!</v>
      </c>
      <c r="ID90" t="e">
        <f>AND(#REF!,"AAAAAD/z3+0=")</f>
        <v>#REF!</v>
      </c>
      <c r="IE90" t="e">
        <f>AND(#REF!,"AAAAAD/z3+4=")</f>
        <v>#REF!</v>
      </c>
      <c r="IF90" t="e">
        <f>AND(#REF!,"AAAAAD/z3+8=")</f>
        <v>#REF!</v>
      </c>
      <c r="IG90" t="e">
        <f>AND(#REF!,"AAAAAD/z3/A=")</f>
        <v>#REF!</v>
      </c>
      <c r="IH90" t="e">
        <f>IF(#REF!,"AAAAAD/z3/E=",0)</f>
        <v>#REF!</v>
      </c>
      <c r="II90" t="e">
        <f>AND(#REF!,"AAAAAD/z3/I=")</f>
        <v>#REF!</v>
      </c>
      <c r="IJ90" t="e">
        <f>AND(#REF!,"AAAAAD/z3/M=")</f>
        <v>#REF!</v>
      </c>
      <c r="IK90" t="e">
        <f>AND(#REF!,"AAAAAD/z3/Q=")</f>
        <v>#REF!</v>
      </c>
      <c r="IL90" t="e">
        <f>AND(#REF!,"AAAAAD/z3/U=")</f>
        <v>#REF!</v>
      </c>
      <c r="IM90" t="e">
        <f>AND(#REF!,"AAAAAD/z3/Y=")</f>
        <v>#REF!</v>
      </c>
      <c r="IN90" t="e">
        <f>AND(#REF!,"AAAAAD/z3/c=")</f>
        <v>#REF!</v>
      </c>
      <c r="IO90" t="e">
        <f>AND(#REF!,"AAAAAD/z3/g=")</f>
        <v>#REF!</v>
      </c>
      <c r="IP90" t="e">
        <f>AND(#REF!,"AAAAAD/z3/k=")</f>
        <v>#REF!</v>
      </c>
      <c r="IQ90" t="e">
        <f>AND(#REF!,"AAAAAD/z3/o=")</f>
        <v>#REF!</v>
      </c>
      <c r="IR90" t="e">
        <f>AND(#REF!,"AAAAAD/z3/s=")</f>
        <v>#REF!</v>
      </c>
      <c r="IS90" t="e">
        <f>AND(#REF!,"AAAAAD/z3/w=")</f>
        <v>#REF!</v>
      </c>
      <c r="IT90" t="e">
        <f>AND(#REF!,"AAAAAD/z3/0=")</f>
        <v>#REF!</v>
      </c>
      <c r="IU90" t="e">
        <f>AND(#REF!,"AAAAAD/z3/4=")</f>
        <v>#REF!</v>
      </c>
      <c r="IV90" t="e">
        <f>AND(#REF!,"AAAAAD/z3/8=")</f>
        <v>#REF!</v>
      </c>
    </row>
    <row r="91" spans="1:256">
      <c r="A91" t="e">
        <f>AND(#REF!,"AAAAAHv+lwA=")</f>
        <v>#REF!</v>
      </c>
      <c r="B91" t="e">
        <f>AND(#REF!,"AAAAAHv+lwE=")</f>
        <v>#REF!</v>
      </c>
      <c r="C91" t="e">
        <f>AND(#REF!,"AAAAAHv+lwI=")</f>
        <v>#REF!</v>
      </c>
      <c r="D91" t="e">
        <f>AND(#REF!,"AAAAAHv+lwM=")</f>
        <v>#REF!</v>
      </c>
      <c r="E91" t="e">
        <f>AND(#REF!,"AAAAAHv+lwQ=")</f>
        <v>#REF!</v>
      </c>
      <c r="F91" t="e">
        <f>AND(#REF!,"AAAAAHv+lwU=")</f>
        <v>#REF!</v>
      </c>
      <c r="G91" t="e">
        <f>AND(#REF!,"AAAAAHv+lwY=")</f>
        <v>#REF!</v>
      </c>
      <c r="H91" t="e">
        <f>AND(#REF!,"AAAAAHv+lwc=")</f>
        <v>#REF!</v>
      </c>
      <c r="I91" t="e">
        <f>AND(#REF!,"AAAAAHv+lwg=")</f>
        <v>#REF!</v>
      </c>
      <c r="J91" t="e">
        <f>AND(#REF!,"AAAAAHv+lwk=")</f>
        <v>#REF!</v>
      </c>
      <c r="K91" t="e">
        <f>AND(#REF!,"AAAAAHv+lwo=")</f>
        <v>#REF!</v>
      </c>
      <c r="L91" t="e">
        <f>AND(#REF!,"AAAAAHv+lws=")</f>
        <v>#REF!</v>
      </c>
      <c r="M91" t="e">
        <f>AND(#REF!,"AAAAAHv+lww=")</f>
        <v>#REF!</v>
      </c>
      <c r="N91" t="e">
        <f>AND(#REF!,"AAAAAHv+lw0=")</f>
        <v>#REF!</v>
      </c>
      <c r="O91" t="e">
        <f>AND(#REF!,"AAAAAHv+lw4=")</f>
        <v>#REF!</v>
      </c>
      <c r="P91" t="e">
        <f>AND(#REF!,"AAAAAHv+lw8=")</f>
        <v>#REF!</v>
      </c>
      <c r="Q91" t="e">
        <f>AND(#REF!,"AAAAAHv+lxA=")</f>
        <v>#REF!</v>
      </c>
      <c r="R91" t="e">
        <f>AND(#REF!,"AAAAAHv+lxE=")</f>
        <v>#REF!</v>
      </c>
      <c r="S91" t="e">
        <f>AND(#REF!,"AAAAAHv+lxI=")</f>
        <v>#REF!</v>
      </c>
      <c r="T91" t="e">
        <f>AND(#REF!,"AAAAAHv+lxM=")</f>
        <v>#REF!</v>
      </c>
      <c r="U91" t="e">
        <f>AND(#REF!,"AAAAAHv+lxQ=")</f>
        <v>#REF!</v>
      </c>
      <c r="V91" t="e">
        <f>AND(#REF!,"AAAAAHv+lxU=")</f>
        <v>#REF!</v>
      </c>
      <c r="W91" t="e">
        <f>AND(#REF!,"AAAAAHv+lxY=")</f>
        <v>#REF!</v>
      </c>
      <c r="X91" t="e">
        <f>AND(#REF!,"AAAAAHv+lxc=")</f>
        <v>#REF!</v>
      </c>
      <c r="Y91" t="e">
        <f>AND(#REF!,"AAAAAHv+lxg=")</f>
        <v>#REF!</v>
      </c>
      <c r="Z91" t="e">
        <f>AND(#REF!,"AAAAAHv+lxk=")</f>
        <v>#REF!</v>
      </c>
      <c r="AA91" t="e">
        <f>AND(#REF!,"AAAAAHv+lxo=")</f>
        <v>#REF!</v>
      </c>
      <c r="AB91" t="e">
        <f>IF(#REF!,"AAAAAHv+lxs=",0)</f>
        <v>#REF!</v>
      </c>
      <c r="AC91" t="e">
        <f>AND(#REF!,"AAAAAHv+lxw=")</f>
        <v>#REF!</v>
      </c>
      <c r="AD91" t="e">
        <f>AND(#REF!,"AAAAAHv+lx0=")</f>
        <v>#REF!</v>
      </c>
      <c r="AE91" t="e">
        <f>AND(#REF!,"AAAAAHv+lx4=")</f>
        <v>#REF!</v>
      </c>
      <c r="AF91" t="e">
        <f>AND(#REF!,"AAAAAHv+lx8=")</f>
        <v>#REF!</v>
      </c>
      <c r="AG91" t="e">
        <f>AND(#REF!,"AAAAAHv+lyA=")</f>
        <v>#REF!</v>
      </c>
      <c r="AH91" t="e">
        <f>AND(#REF!,"AAAAAHv+lyE=")</f>
        <v>#REF!</v>
      </c>
      <c r="AI91" t="e">
        <f>AND(#REF!,"AAAAAHv+lyI=")</f>
        <v>#REF!</v>
      </c>
      <c r="AJ91" t="e">
        <f>AND(#REF!,"AAAAAHv+lyM=")</f>
        <v>#REF!</v>
      </c>
      <c r="AK91" t="e">
        <f>AND(#REF!,"AAAAAHv+lyQ=")</f>
        <v>#REF!</v>
      </c>
      <c r="AL91" t="e">
        <f>AND(#REF!,"AAAAAHv+lyU=")</f>
        <v>#REF!</v>
      </c>
      <c r="AM91" t="e">
        <f>AND(#REF!,"AAAAAHv+lyY=")</f>
        <v>#REF!</v>
      </c>
      <c r="AN91" t="e">
        <f>AND(#REF!,"AAAAAHv+lyc=")</f>
        <v>#REF!</v>
      </c>
      <c r="AO91" t="e">
        <f>AND(#REF!,"AAAAAHv+lyg=")</f>
        <v>#REF!</v>
      </c>
      <c r="AP91" t="e">
        <f>AND(#REF!,"AAAAAHv+lyk=")</f>
        <v>#REF!</v>
      </c>
      <c r="AQ91" t="e">
        <f>AND(#REF!,"AAAAAHv+lyo=")</f>
        <v>#REF!</v>
      </c>
      <c r="AR91" t="e">
        <f>AND(#REF!,"AAAAAHv+lys=")</f>
        <v>#REF!</v>
      </c>
      <c r="AS91" t="e">
        <f>AND(#REF!,"AAAAAHv+lyw=")</f>
        <v>#REF!</v>
      </c>
      <c r="AT91" t="e">
        <f>AND(#REF!,"AAAAAHv+ly0=")</f>
        <v>#REF!</v>
      </c>
      <c r="AU91" t="e">
        <f>AND(#REF!,"AAAAAHv+ly4=")</f>
        <v>#REF!</v>
      </c>
      <c r="AV91" t="e">
        <f>AND(#REF!,"AAAAAHv+ly8=")</f>
        <v>#REF!</v>
      </c>
      <c r="AW91" t="e">
        <f>AND(#REF!,"AAAAAHv+lzA=")</f>
        <v>#REF!</v>
      </c>
      <c r="AX91" t="e">
        <f>AND(#REF!,"AAAAAHv+lzE=")</f>
        <v>#REF!</v>
      </c>
      <c r="AY91" t="e">
        <f>AND(#REF!,"AAAAAHv+lzI=")</f>
        <v>#REF!</v>
      </c>
      <c r="AZ91" t="e">
        <f>AND(#REF!,"AAAAAHv+lzM=")</f>
        <v>#REF!</v>
      </c>
      <c r="BA91" t="e">
        <f>AND(#REF!,"AAAAAHv+lzQ=")</f>
        <v>#REF!</v>
      </c>
      <c r="BB91" t="e">
        <f>AND(#REF!,"AAAAAHv+lzU=")</f>
        <v>#REF!</v>
      </c>
      <c r="BC91" t="e">
        <f>AND(#REF!,"AAAAAHv+lzY=")</f>
        <v>#REF!</v>
      </c>
      <c r="BD91" t="e">
        <f>AND(#REF!,"AAAAAHv+lzc=")</f>
        <v>#REF!</v>
      </c>
      <c r="BE91" t="e">
        <f>AND(#REF!,"AAAAAHv+lzg=")</f>
        <v>#REF!</v>
      </c>
      <c r="BF91" t="e">
        <f>AND(#REF!,"AAAAAHv+lzk=")</f>
        <v>#REF!</v>
      </c>
      <c r="BG91" t="e">
        <f>AND(#REF!,"AAAAAHv+lzo=")</f>
        <v>#REF!</v>
      </c>
      <c r="BH91" t="e">
        <f>AND(#REF!,"AAAAAHv+lzs=")</f>
        <v>#REF!</v>
      </c>
      <c r="BI91" t="e">
        <f>AND(#REF!,"AAAAAHv+lzw=")</f>
        <v>#REF!</v>
      </c>
      <c r="BJ91" t="e">
        <f>AND(#REF!,"AAAAAHv+lz0=")</f>
        <v>#REF!</v>
      </c>
      <c r="BK91" t="e">
        <f>AND(#REF!,"AAAAAHv+lz4=")</f>
        <v>#REF!</v>
      </c>
      <c r="BL91" t="e">
        <f>AND(#REF!,"AAAAAHv+lz8=")</f>
        <v>#REF!</v>
      </c>
      <c r="BM91" t="e">
        <f>AND(#REF!,"AAAAAHv+l0A=")</f>
        <v>#REF!</v>
      </c>
      <c r="BN91" t="e">
        <f>AND(#REF!,"AAAAAHv+l0E=")</f>
        <v>#REF!</v>
      </c>
      <c r="BO91" t="e">
        <f>AND(#REF!,"AAAAAHv+l0I=")</f>
        <v>#REF!</v>
      </c>
      <c r="BP91" t="e">
        <f>AND(#REF!,"AAAAAHv+l0M=")</f>
        <v>#REF!</v>
      </c>
      <c r="BQ91" t="e">
        <f>AND(#REF!,"AAAAAHv+l0Q=")</f>
        <v>#REF!</v>
      </c>
      <c r="BR91" t="e">
        <f>IF(#REF!,"AAAAAHv+l0U=",0)</f>
        <v>#REF!</v>
      </c>
      <c r="BS91" t="e">
        <f>AND(#REF!,"AAAAAHv+l0Y=")</f>
        <v>#REF!</v>
      </c>
      <c r="BT91" t="e">
        <f>AND(#REF!,"AAAAAHv+l0c=")</f>
        <v>#REF!</v>
      </c>
      <c r="BU91" t="e">
        <f>AND(#REF!,"AAAAAHv+l0g=")</f>
        <v>#REF!</v>
      </c>
      <c r="BV91" t="e">
        <f>AND(#REF!,"AAAAAHv+l0k=")</f>
        <v>#REF!</v>
      </c>
      <c r="BW91" t="e">
        <f>AND(#REF!,"AAAAAHv+l0o=")</f>
        <v>#REF!</v>
      </c>
      <c r="BX91" t="e">
        <f>AND(#REF!,"AAAAAHv+l0s=")</f>
        <v>#REF!</v>
      </c>
      <c r="BY91" t="e">
        <f>AND(#REF!,"AAAAAHv+l0w=")</f>
        <v>#REF!</v>
      </c>
      <c r="BZ91" t="e">
        <f>AND(#REF!,"AAAAAHv+l00=")</f>
        <v>#REF!</v>
      </c>
      <c r="CA91" t="e">
        <f>AND(#REF!,"AAAAAHv+l04=")</f>
        <v>#REF!</v>
      </c>
      <c r="CB91" t="e">
        <f>AND(#REF!,"AAAAAHv+l08=")</f>
        <v>#REF!</v>
      </c>
      <c r="CC91" t="e">
        <f>AND(#REF!,"AAAAAHv+l1A=")</f>
        <v>#REF!</v>
      </c>
      <c r="CD91" t="e">
        <f>AND(#REF!,"AAAAAHv+l1E=")</f>
        <v>#REF!</v>
      </c>
      <c r="CE91" t="e">
        <f>AND(#REF!,"AAAAAHv+l1I=")</f>
        <v>#REF!</v>
      </c>
      <c r="CF91" t="e">
        <f>AND(#REF!,"AAAAAHv+l1M=")</f>
        <v>#REF!</v>
      </c>
      <c r="CG91" t="e">
        <f>AND(#REF!,"AAAAAHv+l1Q=")</f>
        <v>#REF!</v>
      </c>
      <c r="CH91" t="e">
        <f>AND(#REF!,"AAAAAHv+l1U=")</f>
        <v>#REF!</v>
      </c>
      <c r="CI91" t="e">
        <f>AND(#REF!,"AAAAAHv+l1Y=")</f>
        <v>#REF!</v>
      </c>
      <c r="CJ91" t="e">
        <f>AND(#REF!,"AAAAAHv+l1c=")</f>
        <v>#REF!</v>
      </c>
      <c r="CK91" t="e">
        <f>AND(#REF!,"AAAAAHv+l1g=")</f>
        <v>#REF!</v>
      </c>
      <c r="CL91" t="e">
        <f>AND(#REF!,"AAAAAHv+l1k=")</f>
        <v>#REF!</v>
      </c>
      <c r="CM91" t="e">
        <f>AND(#REF!,"AAAAAHv+l1o=")</f>
        <v>#REF!</v>
      </c>
      <c r="CN91" t="e">
        <f>AND(#REF!,"AAAAAHv+l1s=")</f>
        <v>#REF!</v>
      </c>
      <c r="CO91" t="e">
        <f>AND(#REF!,"AAAAAHv+l1w=")</f>
        <v>#REF!</v>
      </c>
      <c r="CP91" t="e">
        <f>AND(#REF!,"AAAAAHv+l10=")</f>
        <v>#REF!</v>
      </c>
      <c r="CQ91" t="e">
        <f>AND(#REF!,"AAAAAHv+l14=")</f>
        <v>#REF!</v>
      </c>
      <c r="CR91" t="e">
        <f>AND(#REF!,"AAAAAHv+l18=")</f>
        <v>#REF!</v>
      </c>
      <c r="CS91" t="e">
        <f>AND(#REF!,"AAAAAHv+l2A=")</f>
        <v>#REF!</v>
      </c>
      <c r="CT91" t="e">
        <f>AND(#REF!,"AAAAAHv+l2E=")</f>
        <v>#REF!</v>
      </c>
      <c r="CU91" t="e">
        <f>AND(#REF!,"AAAAAHv+l2I=")</f>
        <v>#REF!</v>
      </c>
      <c r="CV91" t="e">
        <f>AND(#REF!,"AAAAAHv+l2M=")</f>
        <v>#REF!</v>
      </c>
      <c r="CW91" t="e">
        <f>AND(#REF!,"AAAAAHv+l2Q=")</f>
        <v>#REF!</v>
      </c>
      <c r="CX91" t="e">
        <f>AND(#REF!,"AAAAAHv+l2U=")</f>
        <v>#REF!</v>
      </c>
      <c r="CY91" t="e">
        <f>AND(#REF!,"AAAAAHv+l2Y=")</f>
        <v>#REF!</v>
      </c>
      <c r="CZ91" t="e">
        <f>AND(#REF!,"AAAAAHv+l2c=")</f>
        <v>#REF!</v>
      </c>
      <c r="DA91" t="e">
        <f>AND(#REF!,"AAAAAHv+l2g=")</f>
        <v>#REF!</v>
      </c>
      <c r="DB91" t="e">
        <f>AND(#REF!,"AAAAAHv+l2k=")</f>
        <v>#REF!</v>
      </c>
      <c r="DC91" t="e">
        <f>AND(#REF!,"AAAAAHv+l2o=")</f>
        <v>#REF!</v>
      </c>
      <c r="DD91" t="e">
        <f>AND(#REF!,"AAAAAHv+l2s=")</f>
        <v>#REF!</v>
      </c>
      <c r="DE91" t="e">
        <f>AND(#REF!,"AAAAAHv+l2w=")</f>
        <v>#REF!</v>
      </c>
      <c r="DF91" t="e">
        <f>AND(#REF!,"AAAAAHv+l20=")</f>
        <v>#REF!</v>
      </c>
      <c r="DG91" t="e">
        <f>AND(#REF!,"AAAAAHv+l24=")</f>
        <v>#REF!</v>
      </c>
      <c r="DH91" t="e">
        <f>IF(#REF!,"AAAAAHv+l28=",0)</f>
        <v>#REF!</v>
      </c>
      <c r="DI91" t="e">
        <f>AND(#REF!,"AAAAAHv+l3A=")</f>
        <v>#REF!</v>
      </c>
      <c r="DJ91" t="e">
        <f>AND(#REF!,"AAAAAHv+l3E=")</f>
        <v>#REF!</v>
      </c>
      <c r="DK91" t="e">
        <f>AND(#REF!,"AAAAAHv+l3I=")</f>
        <v>#REF!</v>
      </c>
      <c r="DL91" t="e">
        <f>AND(#REF!,"AAAAAHv+l3M=")</f>
        <v>#REF!</v>
      </c>
      <c r="DM91" t="e">
        <f>AND(#REF!,"AAAAAHv+l3Q=")</f>
        <v>#REF!</v>
      </c>
      <c r="DN91" t="e">
        <f>AND(#REF!,"AAAAAHv+l3U=")</f>
        <v>#REF!</v>
      </c>
      <c r="DO91" t="e">
        <f>AND(#REF!,"AAAAAHv+l3Y=")</f>
        <v>#REF!</v>
      </c>
      <c r="DP91" t="e">
        <f>AND(#REF!,"AAAAAHv+l3c=")</f>
        <v>#REF!</v>
      </c>
      <c r="DQ91" t="e">
        <f>AND(#REF!,"AAAAAHv+l3g=")</f>
        <v>#REF!</v>
      </c>
      <c r="DR91" t="e">
        <f>AND(#REF!,"AAAAAHv+l3k=")</f>
        <v>#REF!</v>
      </c>
      <c r="DS91" t="e">
        <f>AND(#REF!,"AAAAAHv+l3o=")</f>
        <v>#REF!</v>
      </c>
      <c r="DT91" t="e">
        <f>AND(#REF!,"AAAAAHv+l3s=")</f>
        <v>#REF!</v>
      </c>
      <c r="DU91" t="e">
        <f>AND(#REF!,"AAAAAHv+l3w=")</f>
        <v>#REF!</v>
      </c>
      <c r="DV91" t="e">
        <f>AND(#REF!,"AAAAAHv+l30=")</f>
        <v>#REF!</v>
      </c>
      <c r="DW91" t="e">
        <f>AND(#REF!,"AAAAAHv+l34=")</f>
        <v>#REF!</v>
      </c>
      <c r="DX91" t="e">
        <f>AND(#REF!,"AAAAAHv+l38=")</f>
        <v>#REF!</v>
      </c>
      <c r="DY91" t="e">
        <f>AND(#REF!,"AAAAAHv+l4A=")</f>
        <v>#REF!</v>
      </c>
      <c r="DZ91" t="e">
        <f>AND(#REF!,"AAAAAHv+l4E=")</f>
        <v>#REF!</v>
      </c>
      <c r="EA91" t="e">
        <f>AND(#REF!,"AAAAAHv+l4I=")</f>
        <v>#REF!</v>
      </c>
      <c r="EB91" t="e">
        <f>AND(#REF!,"AAAAAHv+l4M=")</f>
        <v>#REF!</v>
      </c>
      <c r="EC91" t="e">
        <f>AND(#REF!,"AAAAAHv+l4Q=")</f>
        <v>#REF!</v>
      </c>
      <c r="ED91" t="e">
        <f>AND(#REF!,"AAAAAHv+l4U=")</f>
        <v>#REF!</v>
      </c>
      <c r="EE91" t="e">
        <f>AND(#REF!,"AAAAAHv+l4Y=")</f>
        <v>#REF!</v>
      </c>
      <c r="EF91" t="e">
        <f>AND(#REF!,"AAAAAHv+l4c=")</f>
        <v>#REF!</v>
      </c>
      <c r="EG91" t="e">
        <f>AND(#REF!,"AAAAAHv+l4g=")</f>
        <v>#REF!</v>
      </c>
      <c r="EH91" t="e">
        <f>AND(#REF!,"AAAAAHv+l4k=")</f>
        <v>#REF!</v>
      </c>
      <c r="EI91" t="e">
        <f>AND(#REF!,"AAAAAHv+l4o=")</f>
        <v>#REF!</v>
      </c>
      <c r="EJ91" t="e">
        <f>AND(#REF!,"AAAAAHv+l4s=")</f>
        <v>#REF!</v>
      </c>
      <c r="EK91" t="e">
        <f>AND(#REF!,"AAAAAHv+l4w=")</f>
        <v>#REF!</v>
      </c>
      <c r="EL91" t="e">
        <f>AND(#REF!,"AAAAAHv+l40=")</f>
        <v>#REF!</v>
      </c>
      <c r="EM91" t="e">
        <f>AND(#REF!,"AAAAAHv+l44=")</f>
        <v>#REF!</v>
      </c>
      <c r="EN91" t="e">
        <f>AND(#REF!,"AAAAAHv+l48=")</f>
        <v>#REF!</v>
      </c>
      <c r="EO91" t="e">
        <f>AND(#REF!,"AAAAAHv+l5A=")</f>
        <v>#REF!</v>
      </c>
      <c r="EP91" t="e">
        <f>AND(#REF!,"AAAAAHv+l5E=")</f>
        <v>#REF!</v>
      </c>
      <c r="EQ91" t="e">
        <f>AND(#REF!,"AAAAAHv+l5I=")</f>
        <v>#REF!</v>
      </c>
      <c r="ER91" t="e">
        <f>AND(#REF!,"AAAAAHv+l5M=")</f>
        <v>#REF!</v>
      </c>
      <c r="ES91" t="e">
        <f>AND(#REF!,"AAAAAHv+l5Q=")</f>
        <v>#REF!</v>
      </c>
      <c r="ET91" t="e">
        <f>AND(#REF!,"AAAAAHv+l5U=")</f>
        <v>#REF!</v>
      </c>
      <c r="EU91" t="e">
        <f>AND(#REF!,"AAAAAHv+l5Y=")</f>
        <v>#REF!</v>
      </c>
      <c r="EV91" t="e">
        <f>AND(#REF!,"AAAAAHv+l5c=")</f>
        <v>#REF!</v>
      </c>
      <c r="EW91" t="e">
        <f>AND(#REF!,"AAAAAHv+l5g=")</f>
        <v>#REF!</v>
      </c>
      <c r="EX91" t="e">
        <f>IF(#REF!,"AAAAAHv+l5k=",0)</f>
        <v>#REF!</v>
      </c>
      <c r="EY91" t="e">
        <f>AND(#REF!,"AAAAAHv+l5o=")</f>
        <v>#REF!</v>
      </c>
      <c r="EZ91" t="e">
        <f>AND(#REF!,"AAAAAHv+l5s=")</f>
        <v>#REF!</v>
      </c>
      <c r="FA91" t="e">
        <f>AND(#REF!,"AAAAAHv+l5w=")</f>
        <v>#REF!</v>
      </c>
      <c r="FB91" t="e">
        <f>AND(#REF!,"AAAAAHv+l50=")</f>
        <v>#REF!</v>
      </c>
      <c r="FC91" t="e">
        <f>AND(#REF!,"AAAAAHv+l54=")</f>
        <v>#REF!</v>
      </c>
      <c r="FD91" t="e">
        <f>AND(#REF!,"AAAAAHv+l58=")</f>
        <v>#REF!</v>
      </c>
      <c r="FE91" t="e">
        <f>AND(#REF!,"AAAAAHv+l6A=")</f>
        <v>#REF!</v>
      </c>
      <c r="FF91" t="e">
        <f>AND(#REF!,"AAAAAHv+l6E=")</f>
        <v>#REF!</v>
      </c>
      <c r="FG91" t="e">
        <f>AND(#REF!,"AAAAAHv+l6I=")</f>
        <v>#REF!</v>
      </c>
      <c r="FH91" t="e">
        <f>AND(#REF!,"AAAAAHv+l6M=")</f>
        <v>#REF!</v>
      </c>
      <c r="FI91" t="e">
        <f>AND(#REF!,"AAAAAHv+l6Q=")</f>
        <v>#REF!</v>
      </c>
      <c r="FJ91" t="e">
        <f>AND(#REF!,"AAAAAHv+l6U=")</f>
        <v>#REF!</v>
      </c>
      <c r="FK91" t="e">
        <f>AND(#REF!,"AAAAAHv+l6Y=")</f>
        <v>#REF!</v>
      </c>
      <c r="FL91" t="e">
        <f>AND(#REF!,"AAAAAHv+l6c=")</f>
        <v>#REF!</v>
      </c>
      <c r="FM91" t="e">
        <f>AND(#REF!,"AAAAAHv+l6g=")</f>
        <v>#REF!</v>
      </c>
      <c r="FN91" t="e">
        <f>AND(#REF!,"AAAAAHv+l6k=")</f>
        <v>#REF!</v>
      </c>
      <c r="FO91" t="e">
        <f>AND(#REF!,"AAAAAHv+l6o=")</f>
        <v>#REF!</v>
      </c>
      <c r="FP91" t="e">
        <f>AND(#REF!,"AAAAAHv+l6s=")</f>
        <v>#REF!</v>
      </c>
      <c r="FQ91" t="e">
        <f>AND(#REF!,"AAAAAHv+l6w=")</f>
        <v>#REF!</v>
      </c>
      <c r="FR91" t="e">
        <f>AND(#REF!,"AAAAAHv+l60=")</f>
        <v>#REF!</v>
      </c>
      <c r="FS91" t="e">
        <f>AND(#REF!,"AAAAAHv+l64=")</f>
        <v>#REF!</v>
      </c>
      <c r="FT91" t="e">
        <f>AND(#REF!,"AAAAAHv+l68=")</f>
        <v>#REF!</v>
      </c>
      <c r="FU91" t="e">
        <f>AND(#REF!,"AAAAAHv+l7A=")</f>
        <v>#REF!</v>
      </c>
      <c r="FV91" t="e">
        <f>AND(#REF!,"AAAAAHv+l7E=")</f>
        <v>#REF!</v>
      </c>
      <c r="FW91" t="e">
        <f>AND(#REF!,"AAAAAHv+l7I=")</f>
        <v>#REF!</v>
      </c>
      <c r="FX91" t="e">
        <f>AND(#REF!,"AAAAAHv+l7M=")</f>
        <v>#REF!</v>
      </c>
      <c r="FY91" t="e">
        <f>AND(#REF!,"AAAAAHv+l7Q=")</f>
        <v>#REF!</v>
      </c>
      <c r="FZ91" t="e">
        <f>AND(#REF!,"AAAAAHv+l7U=")</f>
        <v>#REF!</v>
      </c>
      <c r="GA91" t="e">
        <f>AND(#REF!,"AAAAAHv+l7Y=")</f>
        <v>#REF!</v>
      </c>
      <c r="GB91" t="e">
        <f>AND(#REF!,"AAAAAHv+l7c=")</f>
        <v>#REF!</v>
      </c>
      <c r="GC91" t="e">
        <f>AND(#REF!,"AAAAAHv+l7g=")</f>
        <v>#REF!</v>
      </c>
      <c r="GD91" t="e">
        <f>AND(#REF!,"AAAAAHv+l7k=")</f>
        <v>#REF!</v>
      </c>
      <c r="GE91" t="e">
        <f>AND(#REF!,"AAAAAHv+l7o=")</f>
        <v>#REF!</v>
      </c>
      <c r="GF91" t="e">
        <f>AND(#REF!,"AAAAAHv+l7s=")</f>
        <v>#REF!</v>
      </c>
      <c r="GG91" t="e">
        <f>AND(#REF!,"AAAAAHv+l7w=")</f>
        <v>#REF!</v>
      </c>
      <c r="GH91" t="e">
        <f>AND(#REF!,"AAAAAHv+l70=")</f>
        <v>#REF!</v>
      </c>
      <c r="GI91" t="e">
        <f>AND(#REF!,"AAAAAHv+l74=")</f>
        <v>#REF!</v>
      </c>
      <c r="GJ91" t="e">
        <f>AND(#REF!,"AAAAAHv+l78=")</f>
        <v>#REF!</v>
      </c>
      <c r="GK91" t="e">
        <f>AND(#REF!,"AAAAAHv+l8A=")</f>
        <v>#REF!</v>
      </c>
      <c r="GL91" t="e">
        <f>AND(#REF!,"AAAAAHv+l8E=")</f>
        <v>#REF!</v>
      </c>
      <c r="GM91" t="e">
        <f>AND(#REF!,"AAAAAHv+l8I=")</f>
        <v>#REF!</v>
      </c>
      <c r="GN91" t="e">
        <f>IF(#REF!,"AAAAAHv+l8M=",0)</f>
        <v>#REF!</v>
      </c>
      <c r="GO91" t="e">
        <f>AND(#REF!,"AAAAAHv+l8Q=")</f>
        <v>#REF!</v>
      </c>
      <c r="GP91" t="e">
        <f>AND(#REF!,"AAAAAHv+l8U=")</f>
        <v>#REF!</v>
      </c>
      <c r="GQ91" t="e">
        <f>AND(#REF!,"AAAAAHv+l8Y=")</f>
        <v>#REF!</v>
      </c>
      <c r="GR91" t="e">
        <f>AND(#REF!,"AAAAAHv+l8c=")</f>
        <v>#REF!</v>
      </c>
      <c r="GS91" t="e">
        <f>AND(#REF!,"AAAAAHv+l8g=")</f>
        <v>#REF!</v>
      </c>
      <c r="GT91" t="e">
        <f>AND(#REF!,"AAAAAHv+l8k=")</f>
        <v>#REF!</v>
      </c>
      <c r="GU91" t="e">
        <f>AND(#REF!,"AAAAAHv+l8o=")</f>
        <v>#REF!</v>
      </c>
      <c r="GV91" t="e">
        <f>AND(#REF!,"AAAAAHv+l8s=")</f>
        <v>#REF!</v>
      </c>
      <c r="GW91" t="e">
        <f>AND(#REF!,"AAAAAHv+l8w=")</f>
        <v>#REF!</v>
      </c>
      <c r="GX91" t="e">
        <f>AND(#REF!,"AAAAAHv+l80=")</f>
        <v>#REF!</v>
      </c>
      <c r="GY91" t="e">
        <f>AND(#REF!,"AAAAAHv+l84=")</f>
        <v>#REF!</v>
      </c>
      <c r="GZ91" t="e">
        <f>AND(#REF!,"AAAAAHv+l88=")</f>
        <v>#REF!</v>
      </c>
      <c r="HA91" t="e">
        <f>AND(#REF!,"AAAAAHv+l9A=")</f>
        <v>#REF!</v>
      </c>
      <c r="HB91" t="e">
        <f>AND(#REF!,"AAAAAHv+l9E=")</f>
        <v>#REF!</v>
      </c>
      <c r="HC91" t="e">
        <f>AND(#REF!,"AAAAAHv+l9I=")</f>
        <v>#REF!</v>
      </c>
      <c r="HD91" t="e">
        <f>AND(#REF!,"AAAAAHv+l9M=")</f>
        <v>#REF!</v>
      </c>
      <c r="HE91" t="e">
        <f>AND(#REF!,"AAAAAHv+l9Q=")</f>
        <v>#REF!</v>
      </c>
      <c r="HF91" t="e">
        <f>AND(#REF!,"AAAAAHv+l9U=")</f>
        <v>#REF!</v>
      </c>
      <c r="HG91" t="e">
        <f>AND(#REF!,"AAAAAHv+l9Y=")</f>
        <v>#REF!</v>
      </c>
      <c r="HH91" t="e">
        <f>AND(#REF!,"AAAAAHv+l9c=")</f>
        <v>#REF!</v>
      </c>
      <c r="HI91" t="e">
        <f>AND(#REF!,"AAAAAHv+l9g=")</f>
        <v>#REF!</v>
      </c>
      <c r="HJ91" t="e">
        <f>AND(#REF!,"AAAAAHv+l9k=")</f>
        <v>#REF!</v>
      </c>
      <c r="HK91" t="e">
        <f>AND(#REF!,"AAAAAHv+l9o=")</f>
        <v>#REF!</v>
      </c>
      <c r="HL91" t="e">
        <f>AND(#REF!,"AAAAAHv+l9s=")</f>
        <v>#REF!</v>
      </c>
      <c r="HM91" t="e">
        <f>AND(#REF!,"AAAAAHv+l9w=")</f>
        <v>#REF!</v>
      </c>
      <c r="HN91" t="e">
        <f>AND(#REF!,"AAAAAHv+l90=")</f>
        <v>#REF!</v>
      </c>
      <c r="HO91" t="e">
        <f>AND(#REF!,"AAAAAHv+l94=")</f>
        <v>#REF!</v>
      </c>
      <c r="HP91" t="e">
        <f>AND(#REF!,"AAAAAHv+l98=")</f>
        <v>#REF!</v>
      </c>
      <c r="HQ91" t="e">
        <f>AND(#REF!,"AAAAAHv+l+A=")</f>
        <v>#REF!</v>
      </c>
      <c r="HR91" t="e">
        <f>AND(#REF!,"AAAAAHv+l+E=")</f>
        <v>#REF!</v>
      </c>
      <c r="HS91" t="e">
        <f>AND(#REF!,"AAAAAHv+l+I=")</f>
        <v>#REF!</v>
      </c>
      <c r="HT91" t="e">
        <f>AND(#REF!,"AAAAAHv+l+M=")</f>
        <v>#REF!</v>
      </c>
      <c r="HU91" t="e">
        <f>AND(#REF!,"AAAAAHv+l+Q=")</f>
        <v>#REF!</v>
      </c>
      <c r="HV91" t="e">
        <f>AND(#REF!,"AAAAAHv+l+U=")</f>
        <v>#REF!</v>
      </c>
      <c r="HW91" t="e">
        <f>AND(#REF!,"AAAAAHv+l+Y=")</f>
        <v>#REF!</v>
      </c>
      <c r="HX91" t="e">
        <f>AND(#REF!,"AAAAAHv+l+c=")</f>
        <v>#REF!</v>
      </c>
      <c r="HY91" t="e">
        <f>AND(#REF!,"AAAAAHv+l+g=")</f>
        <v>#REF!</v>
      </c>
      <c r="HZ91" t="e">
        <f>AND(#REF!,"AAAAAHv+l+k=")</f>
        <v>#REF!</v>
      </c>
      <c r="IA91" t="e">
        <f>AND(#REF!,"AAAAAHv+l+o=")</f>
        <v>#REF!</v>
      </c>
      <c r="IB91" t="e">
        <f>AND(#REF!,"AAAAAHv+l+s=")</f>
        <v>#REF!</v>
      </c>
      <c r="IC91" t="e">
        <f>AND(#REF!,"AAAAAHv+l+w=")</f>
        <v>#REF!</v>
      </c>
      <c r="ID91" t="e">
        <f>IF(#REF!,"AAAAAHv+l+0=",0)</f>
        <v>#REF!</v>
      </c>
      <c r="IE91" t="e">
        <f>AND(#REF!,"AAAAAHv+l+4=")</f>
        <v>#REF!</v>
      </c>
      <c r="IF91" t="e">
        <f>AND(#REF!,"AAAAAHv+l+8=")</f>
        <v>#REF!</v>
      </c>
      <c r="IG91" t="e">
        <f>AND(#REF!,"AAAAAHv+l/A=")</f>
        <v>#REF!</v>
      </c>
      <c r="IH91" t="e">
        <f>AND(#REF!,"AAAAAHv+l/E=")</f>
        <v>#REF!</v>
      </c>
      <c r="II91" t="e">
        <f>AND(#REF!,"AAAAAHv+l/I=")</f>
        <v>#REF!</v>
      </c>
      <c r="IJ91" t="e">
        <f>AND(#REF!,"AAAAAHv+l/M=")</f>
        <v>#REF!</v>
      </c>
      <c r="IK91" t="e">
        <f>AND(#REF!,"AAAAAHv+l/Q=")</f>
        <v>#REF!</v>
      </c>
      <c r="IL91" t="e">
        <f>AND(#REF!,"AAAAAHv+l/U=")</f>
        <v>#REF!</v>
      </c>
      <c r="IM91" t="e">
        <f>AND(#REF!,"AAAAAHv+l/Y=")</f>
        <v>#REF!</v>
      </c>
      <c r="IN91" t="e">
        <f>AND(#REF!,"AAAAAHv+l/c=")</f>
        <v>#REF!</v>
      </c>
      <c r="IO91" t="e">
        <f>AND(#REF!,"AAAAAHv+l/g=")</f>
        <v>#REF!</v>
      </c>
      <c r="IP91" t="e">
        <f>AND(#REF!,"AAAAAHv+l/k=")</f>
        <v>#REF!</v>
      </c>
      <c r="IQ91" t="e">
        <f>AND(#REF!,"AAAAAHv+l/o=")</f>
        <v>#REF!</v>
      </c>
      <c r="IR91" t="e">
        <f>AND(#REF!,"AAAAAHv+l/s=")</f>
        <v>#REF!</v>
      </c>
      <c r="IS91" t="e">
        <f>AND(#REF!,"AAAAAHv+l/w=")</f>
        <v>#REF!</v>
      </c>
      <c r="IT91" t="e">
        <f>AND(#REF!,"AAAAAHv+l/0=")</f>
        <v>#REF!</v>
      </c>
      <c r="IU91" t="e">
        <f>AND(#REF!,"AAAAAHv+l/4=")</f>
        <v>#REF!</v>
      </c>
      <c r="IV91" t="e">
        <f>AND(#REF!,"AAAAAHv+l/8=")</f>
        <v>#REF!</v>
      </c>
    </row>
    <row r="92" spans="1:256">
      <c r="A92" t="e">
        <f>AND(#REF!,"AAAAAH3ewwA=")</f>
        <v>#REF!</v>
      </c>
      <c r="B92" t="e">
        <f>AND(#REF!,"AAAAAH3ewwE=")</f>
        <v>#REF!</v>
      </c>
      <c r="C92" t="e">
        <f>AND(#REF!,"AAAAAH3ewwI=")</f>
        <v>#REF!</v>
      </c>
      <c r="D92" t="e">
        <f>AND(#REF!,"AAAAAH3ewwM=")</f>
        <v>#REF!</v>
      </c>
      <c r="E92" t="e">
        <f>AND(#REF!,"AAAAAH3ewwQ=")</f>
        <v>#REF!</v>
      </c>
      <c r="F92" t="e">
        <f>AND(#REF!,"AAAAAH3ewwU=")</f>
        <v>#REF!</v>
      </c>
      <c r="G92" t="e">
        <f>AND(#REF!,"AAAAAH3ewwY=")</f>
        <v>#REF!</v>
      </c>
      <c r="H92" t="e">
        <f>AND(#REF!,"AAAAAH3ewwc=")</f>
        <v>#REF!</v>
      </c>
      <c r="I92" t="e">
        <f>AND(#REF!,"AAAAAH3ewwg=")</f>
        <v>#REF!</v>
      </c>
      <c r="J92" t="e">
        <f>AND(#REF!,"AAAAAH3ewwk=")</f>
        <v>#REF!</v>
      </c>
      <c r="K92" t="e">
        <f>AND(#REF!,"AAAAAH3ewwo=")</f>
        <v>#REF!</v>
      </c>
      <c r="L92" t="e">
        <f>AND(#REF!,"AAAAAH3ewws=")</f>
        <v>#REF!</v>
      </c>
      <c r="M92" t="e">
        <f>AND(#REF!,"AAAAAH3ewww=")</f>
        <v>#REF!</v>
      </c>
      <c r="N92" t="e">
        <f>AND(#REF!,"AAAAAH3eww0=")</f>
        <v>#REF!</v>
      </c>
      <c r="O92" t="e">
        <f>AND(#REF!,"AAAAAH3eww4=")</f>
        <v>#REF!</v>
      </c>
      <c r="P92" t="e">
        <f>AND(#REF!,"AAAAAH3eww8=")</f>
        <v>#REF!</v>
      </c>
      <c r="Q92" t="e">
        <f>AND(#REF!,"AAAAAH3ewxA=")</f>
        <v>#REF!</v>
      </c>
      <c r="R92" t="e">
        <f>AND(#REF!,"AAAAAH3ewxE=")</f>
        <v>#REF!</v>
      </c>
      <c r="S92" t="e">
        <f>AND(#REF!,"AAAAAH3ewxI=")</f>
        <v>#REF!</v>
      </c>
      <c r="T92" t="e">
        <f>AND(#REF!,"AAAAAH3ewxM=")</f>
        <v>#REF!</v>
      </c>
      <c r="U92" t="e">
        <f>AND(#REF!,"AAAAAH3ewxQ=")</f>
        <v>#REF!</v>
      </c>
      <c r="V92" t="e">
        <f>AND(#REF!,"AAAAAH3ewxU=")</f>
        <v>#REF!</v>
      </c>
      <c r="W92" t="e">
        <f>AND(#REF!,"AAAAAH3ewxY=")</f>
        <v>#REF!</v>
      </c>
      <c r="X92" t="e">
        <f>IF(#REF!,"AAAAAH3ewxc=",0)</f>
        <v>#REF!</v>
      </c>
      <c r="Y92" t="e">
        <f>AND(#REF!,"AAAAAH3ewxg=")</f>
        <v>#REF!</v>
      </c>
      <c r="Z92" t="e">
        <f>AND(#REF!,"AAAAAH3ewxk=")</f>
        <v>#REF!</v>
      </c>
      <c r="AA92" t="e">
        <f>AND(#REF!,"AAAAAH3ewxo=")</f>
        <v>#REF!</v>
      </c>
      <c r="AB92" t="e">
        <f>AND(#REF!,"AAAAAH3ewxs=")</f>
        <v>#REF!</v>
      </c>
      <c r="AC92" t="e">
        <f>AND(#REF!,"AAAAAH3ewxw=")</f>
        <v>#REF!</v>
      </c>
      <c r="AD92" t="e">
        <f>AND(#REF!,"AAAAAH3ewx0=")</f>
        <v>#REF!</v>
      </c>
      <c r="AE92" t="e">
        <f>AND(#REF!,"AAAAAH3ewx4=")</f>
        <v>#REF!</v>
      </c>
      <c r="AF92" t="e">
        <f>AND(#REF!,"AAAAAH3ewx8=")</f>
        <v>#REF!</v>
      </c>
      <c r="AG92" t="e">
        <f>AND(#REF!,"AAAAAH3ewyA=")</f>
        <v>#REF!</v>
      </c>
      <c r="AH92" t="e">
        <f>AND(#REF!,"AAAAAH3ewyE=")</f>
        <v>#REF!</v>
      </c>
      <c r="AI92" t="e">
        <f>AND(#REF!,"AAAAAH3ewyI=")</f>
        <v>#REF!</v>
      </c>
      <c r="AJ92" t="e">
        <f>AND(#REF!,"AAAAAH3ewyM=")</f>
        <v>#REF!</v>
      </c>
      <c r="AK92" t="e">
        <f>AND(#REF!,"AAAAAH3ewyQ=")</f>
        <v>#REF!</v>
      </c>
      <c r="AL92" t="e">
        <f>AND(#REF!,"AAAAAH3ewyU=")</f>
        <v>#REF!</v>
      </c>
      <c r="AM92" t="e">
        <f>AND(#REF!,"AAAAAH3ewyY=")</f>
        <v>#REF!</v>
      </c>
      <c r="AN92" t="e">
        <f>AND(#REF!,"AAAAAH3ewyc=")</f>
        <v>#REF!</v>
      </c>
      <c r="AO92" t="e">
        <f>AND(#REF!,"AAAAAH3ewyg=")</f>
        <v>#REF!</v>
      </c>
      <c r="AP92" t="e">
        <f>AND(#REF!,"AAAAAH3ewyk=")</f>
        <v>#REF!</v>
      </c>
      <c r="AQ92" t="e">
        <f>AND(#REF!,"AAAAAH3ewyo=")</f>
        <v>#REF!</v>
      </c>
      <c r="AR92" t="e">
        <f>AND(#REF!,"AAAAAH3ewys=")</f>
        <v>#REF!</v>
      </c>
      <c r="AS92" t="e">
        <f>AND(#REF!,"AAAAAH3ewyw=")</f>
        <v>#REF!</v>
      </c>
      <c r="AT92" t="e">
        <f>AND(#REF!,"AAAAAH3ewy0=")</f>
        <v>#REF!</v>
      </c>
      <c r="AU92" t="e">
        <f>AND(#REF!,"AAAAAH3ewy4=")</f>
        <v>#REF!</v>
      </c>
      <c r="AV92" t="e">
        <f>AND(#REF!,"AAAAAH3ewy8=")</f>
        <v>#REF!</v>
      </c>
      <c r="AW92" t="e">
        <f>AND(#REF!,"AAAAAH3ewzA=")</f>
        <v>#REF!</v>
      </c>
      <c r="AX92" t="e">
        <f>AND(#REF!,"AAAAAH3ewzE=")</f>
        <v>#REF!</v>
      </c>
      <c r="AY92" t="e">
        <f>AND(#REF!,"AAAAAH3ewzI=")</f>
        <v>#REF!</v>
      </c>
      <c r="AZ92" t="e">
        <f>AND(#REF!,"AAAAAH3ewzM=")</f>
        <v>#REF!</v>
      </c>
      <c r="BA92" t="e">
        <f>AND(#REF!,"AAAAAH3ewzQ=")</f>
        <v>#REF!</v>
      </c>
      <c r="BB92" t="e">
        <f>AND(#REF!,"AAAAAH3ewzU=")</f>
        <v>#REF!</v>
      </c>
      <c r="BC92" t="e">
        <f>AND(#REF!,"AAAAAH3ewzY=")</f>
        <v>#REF!</v>
      </c>
      <c r="BD92" t="e">
        <f>AND(#REF!,"AAAAAH3ewzc=")</f>
        <v>#REF!</v>
      </c>
      <c r="BE92" t="e">
        <f>AND(#REF!,"AAAAAH3ewzg=")</f>
        <v>#REF!</v>
      </c>
      <c r="BF92" t="e">
        <f>AND(#REF!,"AAAAAH3ewzk=")</f>
        <v>#REF!</v>
      </c>
      <c r="BG92" t="e">
        <f>AND(#REF!,"AAAAAH3ewzo=")</f>
        <v>#REF!</v>
      </c>
      <c r="BH92" t="e">
        <f>AND(#REF!,"AAAAAH3ewzs=")</f>
        <v>#REF!</v>
      </c>
      <c r="BI92" t="e">
        <f>AND(#REF!,"AAAAAH3ewzw=")</f>
        <v>#REF!</v>
      </c>
      <c r="BJ92" t="e">
        <f>AND(#REF!,"AAAAAH3ewz0=")</f>
        <v>#REF!</v>
      </c>
      <c r="BK92" t="e">
        <f>AND(#REF!,"AAAAAH3ewz4=")</f>
        <v>#REF!</v>
      </c>
      <c r="BL92" t="e">
        <f>AND(#REF!,"AAAAAH3ewz8=")</f>
        <v>#REF!</v>
      </c>
      <c r="BM92" t="e">
        <f>AND(#REF!,"AAAAAH3ew0A=")</f>
        <v>#REF!</v>
      </c>
      <c r="BN92" t="e">
        <f>IF(#REF!,"AAAAAH3ew0E=",0)</f>
        <v>#REF!</v>
      </c>
      <c r="BO92" t="e">
        <f>AND(#REF!,"AAAAAH3ew0I=")</f>
        <v>#REF!</v>
      </c>
      <c r="BP92" t="e">
        <f>AND(#REF!,"AAAAAH3ew0M=")</f>
        <v>#REF!</v>
      </c>
      <c r="BQ92" t="e">
        <f>AND(#REF!,"AAAAAH3ew0Q=")</f>
        <v>#REF!</v>
      </c>
      <c r="BR92" t="e">
        <f>AND(#REF!,"AAAAAH3ew0U=")</f>
        <v>#REF!</v>
      </c>
      <c r="BS92" t="e">
        <f>AND(#REF!,"AAAAAH3ew0Y=")</f>
        <v>#REF!</v>
      </c>
      <c r="BT92" t="e">
        <f>AND(#REF!,"AAAAAH3ew0c=")</f>
        <v>#REF!</v>
      </c>
      <c r="BU92" t="e">
        <f>AND(#REF!,"AAAAAH3ew0g=")</f>
        <v>#REF!</v>
      </c>
      <c r="BV92" t="e">
        <f>AND(#REF!,"AAAAAH3ew0k=")</f>
        <v>#REF!</v>
      </c>
      <c r="BW92" t="e">
        <f>AND(#REF!,"AAAAAH3ew0o=")</f>
        <v>#REF!</v>
      </c>
      <c r="BX92" t="e">
        <f>AND(#REF!,"AAAAAH3ew0s=")</f>
        <v>#REF!</v>
      </c>
      <c r="BY92" t="e">
        <f>AND(#REF!,"AAAAAH3ew0w=")</f>
        <v>#REF!</v>
      </c>
      <c r="BZ92" t="e">
        <f>AND(#REF!,"AAAAAH3ew00=")</f>
        <v>#REF!</v>
      </c>
      <c r="CA92" t="e">
        <f>AND(#REF!,"AAAAAH3ew04=")</f>
        <v>#REF!</v>
      </c>
      <c r="CB92" t="e">
        <f>AND(#REF!,"AAAAAH3ew08=")</f>
        <v>#REF!</v>
      </c>
      <c r="CC92" t="e">
        <f>AND(#REF!,"AAAAAH3ew1A=")</f>
        <v>#REF!</v>
      </c>
      <c r="CD92" t="e">
        <f>AND(#REF!,"AAAAAH3ew1E=")</f>
        <v>#REF!</v>
      </c>
      <c r="CE92" t="e">
        <f>AND(#REF!,"AAAAAH3ew1I=")</f>
        <v>#REF!</v>
      </c>
      <c r="CF92" t="e">
        <f>AND(#REF!,"AAAAAH3ew1M=")</f>
        <v>#REF!</v>
      </c>
      <c r="CG92" t="e">
        <f>AND(#REF!,"AAAAAH3ew1Q=")</f>
        <v>#REF!</v>
      </c>
      <c r="CH92" t="e">
        <f>AND(#REF!,"AAAAAH3ew1U=")</f>
        <v>#REF!</v>
      </c>
      <c r="CI92" t="e">
        <f>AND(#REF!,"AAAAAH3ew1Y=")</f>
        <v>#REF!</v>
      </c>
      <c r="CJ92" t="e">
        <f>AND(#REF!,"AAAAAH3ew1c=")</f>
        <v>#REF!</v>
      </c>
      <c r="CK92" t="e">
        <f>AND(#REF!,"AAAAAH3ew1g=")</f>
        <v>#REF!</v>
      </c>
      <c r="CL92" t="e">
        <f>AND(#REF!,"AAAAAH3ew1k=")</f>
        <v>#REF!</v>
      </c>
      <c r="CM92" t="e">
        <f>AND(#REF!,"AAAAAH3ew1o=")</f>
        <v>#REF!</v>
      </c>
      <c r="CN92" t="e">
        <f>AND(#REF!,"AAAAAH3ew1s=")</f>
        <v>#REF!</v>
      </c>
      <c r="CO92" t="e">
        <f>AND(#REF!,"AAAAAH3ew1w=")</f>
        <v>#REF!</v>
      </c>
      <c r="CP92" t="e">
        <f>AND(#REF!,"AAAAAH3ew10=")</f>
        <v>#REF!</v>
      </c>
      <c r="CQ92" t="e">
        <f>AND(#REF!,"AAAAAH3ew14=")</f>
        <v>#REF!</v>
      </c>
      <c r="CR92" t="e">
        <f>AND(#REF!,"AAAAAH3ew18=")</f>
        <v>#REF!</v>
      </c>
      <c r="CS92" t="e">
        <f>AND(#REF!,"AAAAAH3ew2A=")</f>
        <v>#REF!</v>
      </c>
      <c r="CT92" t="e">
        <f>AND(#REF!,"AAAAAH3ew2E=")</f>
        <v>#REF!</v>
      </c>
      <c r="CU92" t="e">
        <f>AND(#REF!,"AAAAAH3ew2I=")</f>
        <v>#REF!</v>
      </c>
      <c r="CV92" t="e">
        <f>AND(#REF!,"AAAAAH3ew2M=")</f>
        <v>#REF!</v>
      </c>
      <c r="CW92" t="e">
        <f>AND(#REF!,"AAAAAH3ew2Q=")</f>
        <v>#REF!</v>
      </c>
      <c r="CX92" t="e">
        <f>AND(#REF!,"AAAAAH3ew2U=")</f>
        <v>#REF!</v>
      </c>
      <c r="CY92" t="e">
        <f>AND(#REF!,"AAAAAH3ew2Y=")</f>
        <v>#REF!</v>
      </c>
      <c r="CZ92" t="e">
        <f>AND(#REF!,"AAAAAH3ew2c=")</f>
        <v>#REF!</v>
      </c>
      <c r="DA92" t="e">
        <f>AND(#REF!,"AAAAAH3ew2g=")</f>
        <v>#REF!</v>
      </c>
      <c r="DB92" t="e">
        <f>AND(#REF!,"AAAAAH3ew2k=")</f>
        <v>#REF!</v>
      </c>
      <c r="DC92" t="e">
        <f>AND(#REF!,"AAAAAH3ew2o=")</f>
        <v>#REF!</v>
      </c>
      <c r="DD92" t="e">
        <f>IF(#REF!,"AAAAAH3ew2s=",0)</f>
        <v>#REF!</v>
      </c>
      <c r="DE92" t="e">
        <f>AND(#REF!,"AAAAAH3ew2w=")</f>
        <v>#REF!</v>
      </c>
      <c r="DF92" t="e">
        <f>AND(#REF!,"AAAAAH3ew20=")</f>
        <v>#REF!</v>
      </c>
      <c r="DG92" t="e">
        <f>AND(#REF!,"AAAAAH3ew24=")</f>
        <v>#REF!</v>
      </c>
      <c r="DH92" t="e">
        <f>AND(#REF!,"AAAAAH3ew28=")</f>
        <v>#REF!</v>
      </c>
      <c r="DI92" t="e">
        <f>AND(#REF!,"AAAAAH3ew3A=")</f>
        <v>#REF!</v>
      </c>
      <c r="DJ92" t="e">
        <f>AND(#REF!,"AAAAAH3ew3E=")</f>
        <v>#REF!</v>
      </c>
      <c r="DK92" t="e">
        <f>AND(#REF!,"AAAAAH3ew3I=")</f>
        <v>#REF!</v>
      </c>
      <c r="DL92" t="e">
        <f>AND(#REF!,"AAAAAH3ew3M=")</f>
        <v>#REF!</v>
      </c>
      <c r="DM92" t="e">
        <f>AND(#REF!,"AAAAAH3ew3Q=")</f>
        <v>#REF!</v>
      </c>
      <c r="DN92" t="e">
        <f>AND(#REF!,"AAAAAH3ew3U=")</f>
        <v>#REF!</v>
      </c>
      <c r="DO92" t="e">
        <f>AND(#REF!,"AAAAAH3ew3Y=")</f>
        <v>#REF!</v>
      </c>
      <c r="DP92" t="e">
        <f>AND(#REF!,"AAAAAH3ew3c=")</f>
        <v>#REF!</v>
      </c>
      <c r="DQ92" t="e">
        <f>AND(#REF!,"AAAAAH3ew3g=")</f>
        <v>#REF!</v>
      </c>
      <c r="DR92" t="e">
        <f>AND(#REF!,"AAAAAH3ew3k=")</f>
        <v>#REF!</v>
      </c>
      <c r="DS92" t="e">
        <f>AND(#REF!,"AAAAAH3ew3o=")</f>
        <v>#REF!</v>
      </c>
      <c r="DT92" t="e">
        <f>AND(#REF!,"AAAAAH3ew3s=")</f>
        <v>#REF!</v>
      </c>
      <c r="DU92" t="e">
        <f>AND(#REF!,"AAAAAH3ew3w=")</f>
        <v>#REF!</v>
      </c>
      <c r="DV92" t="e">
        <f>AND(#REF!,"AAAAAH3ew30=")</f>
        <v>#REF!</v>
      </c>
      <c r="DW92" t="e">
        <f>AND(#REF!,"AAAAAH3ew34=")</f>
        <v>#REF!</v>
      </c>
      <c r="DX92" t="e">
        <f>AND(#REF!,"AAAAAH3ew38=")</f>
        <v>#REF!</v>
      </c>
      <c r="DY92" t="e">
        <f>AND(#REF!,"AAAAAH3ew4A=")</f>
        <v>#REF!</v>
      </c>
      <c r="DZ92" t="e">
        <f>AND(#REF!,"AAAAAH3ew4E=")</f>
        <v>#REF!</v>
      </c>
      <c r="EA92" t="e">
        <f>AND(#REF!,"AAAAAH3ew4I=")</f>
        <v>#REF!</v>
      </c>
      <c r="EB92" t="e">
        <f>AND(#REF!,"AAAAAH3ew4M=")</f>
        <v>#REF!</v>
      </c>
      <c r="EC92" t="e">
        <f>AND(#REF!,"AAAAAH3ew4Q=")</f>
        <v>#REF!</v>
      </c>
      <c r="ED92" t="e">
        <f>AND(#REF!,"AAAAAH3ew4U=")</f>
        <v>#REF!</v>
      </c>
      <c r="EE92" t="e">
        <f>AND(#REF!,"AAAAAH3ew4Y=")</f>
        <v>#REF!</v>
      </c>
      <c r="EF92" t="e">
        <f>AND(#REF!,"AAAAAH3ew4c=")</f>
        <v>#REF!</v>
      </c>
      <c r="EG92" t="e">
        <f>AND(#REF!,"AAAAAH3ew4g=")</f>
        <v>#REF!</v>
      </c>
      <c r="EH92" t="e">
        <f>AND(#REF!,"AAAAAH3ew4k=")</f>
        <v>#REF!</v>
      </c>
      <c r="EI92" t="e">
        <f>AND(#REF!,"AAAAAH3ew4o=")</f>
        <v>#REF!</v>
      </c>
      <c r="EJ92" t="e">
        <f>AND(#REF!,"AAAAAH3ew4s=")</f>
        <v>#REF!</v>
      </c>
      <c r="EK92" t="e">
        <f>AND(#REF!,"AAAAAH3ew4w=")</f>
        <v>#REF!</v>
      </c>
      <c r="EL92" t="e">
        <f>AND(#REF!,"AAAAAH3ew40=")</f>
        <v>#REF!</v>
      </c>
      <c r="EM92" t="e">
        <f>AND(#REF!,"AAAAAH3ew44=")</f>
        <v>#REF!</v>
      </c>
      <c r="EN92" t="e">
        <f>AND(#REF!,"AAAAAH3ew48=")</f>
        <v>#REF!</v>
      </c>
      <c r="EO92" t="e">
        <f>AND(#REF!,"AAAAAH3ew5A=")</f>
        <v>#REF!</v>
      </c>
      <c r="EP92" t="e">
        <f>AND(#REF!,"AAAAAH3ew5E=")</f>
        <v>#REF!</v>
      </c>
      <c r="EQ92" t="e">
        <f>AND(#REF!,"AAAAAH3ew5I=")</f>
        <v>#REF!</v>
      </c>
      <c r="ER92" t="e">
        <f>AND(#REF!,"AAAAAH3ew5M=")</f>
        <v>#REF!</v>
      </c>
      <c r="ES92" t="e">
        <f>AND(#REF!,"AAAAAH3ew5Q=")</f>
        <v>#REF!</v>
      </c>
      <c r="ET92" t="e">
        <f>IF(#REF!,"AAAAAH3ew5U=",0)</f>
        <v>#REF!</v>
      </c>
      <c r="EU92" t="e">
        <f>AND(#REF!,"AAAAAH3ew5Y=")</f>
        <v>#REF!</v>
      </c>
      <c r="EV92" t="e">
        <f>AND(#REF!,"AAAAAH3ew5c=")</f>
        <v>#REF!</v>
      </c>
      <c r="EW92" t="e">
        <f>AND(#REF!,"AAAAAH3ew5g=")</f>
        <v>#REF!</v>
      </c>
      <c r="EX92" t="e">
        <f>AND(#REF!,"AAAAAH3ew5k=")</f>
        <v>#REF!</v>
      </c>
      <c r="EY92" t="e">
        <f>AND(#REF!,"AAAAAH3ew5o=")</f>
        <v>#REF!</v>
      </c>
      <c r="EZ92" t="e">
        <f>AND(#REF!,"AAAAAH3ew5s=")</f>
        <v>#REF!</v>
      </c>
      <c r="FA92" t="e">
        <f>AND(#REF!,"AAAAAH3ew5w=")</f>
        <v>#REF!</v>
      </c>
      <c r="FB92" t="e">
        <f>AND(#REF!,"AAAAAH3ew50=")</f>
        <v>#REF!</v>
      </c>
      <c r="FC92" t="e">
        <f>AND(#REF!,"AAAAAH3ew54=")</f>
        <v>#REF!</v>
      </c>
      <c r="FD92" t="e">
        <f>AND(#REF!,"AAAAAH3ew58=")</f>
        <v>#REF!</v>
      </c>
      <c r="FE92" t="e">
        <f>AND(#REF!,"AAAAAH3ew6A=")</f>
        <v>#REF!</v>
      </c>
      <c r="FF92" t="e">
        <f>AND(#REF!,"AAAAAH3ew6E=")</f>
        <v>#REF!</v>
      </c>
      <c r="FG92" t="e">
        <f>AND(#REF!,"AAAAAH3ew6I=")</f>
        <v>#REF!</v>
      </c>
      <c r="FH92" t="e">
        <f>AND(#REF!,"AAAAAH3ew6M=")</f>
        <v>#REF!</v>
      </c>
      <c r="FI92" t="e">
        <f>AND(#REF!,"AAAAAH3ew6Q=")</f>
        <v>#REF!</v>
      </c>
      <c r="FJ92" t="e">
        <f>AND(#REF!,"AAAAAH3ew6U=")</f>
        <v>#REF!</v>
      </c>
      <c r="FK92" t="e">
        <f>AND(#REF!,"AAAAAH3ew6Y=")</f>
        <v>#REF!</v>
      </c>
      <c r="FL92" t="e">
        <f>AND(#REF!,"AAAAAH3ew6c=")</f>
        <v>#REF!</v>
      </c>
      <c r="FM92" t="e">
        <f>AND(#REF!,"AAAAAH3ew6g=")</f>
        <v>#REF!</v>
      </c>
      <c r="FN92" t="e">
        <f>AND(#REF!,"AAAAAH3ew6k=")</f>
        <v>#REF!</v>
      </c>
      <c r="FO92" t="e">
        <f>AND(#REF!,"AAAAAH3ew6o=")</f>
        <v>#REF!</v>
      </c>
      <c r="FP92" t="e">
        <f>AND(#REF!,"AAAAAH3ew6s=")</f>
        <v>#REF!</v>
      </c>
      <c r="FQ92" t="e">
        <f>AND(#REF!,"AAAAAH3ew6w=")</f>
        <v>#REF!</v>
      </c>
      <c r="FR92" t="e">
        <f>AND(#REF!,"AAAAAH3ew60=")</f>
        <v>#REF!</v>
      </c>
      <c r="FS92" t="e">
        <f>AND(#REF!,"AAAAAH3ew64=")</f>
        <v>#REF!</v>
      </c>
      <c r="FT92" t="e">
        <f>AND(#REF!,"AAAAAH3ew68=")</f>
        <v>#REF!</v>
      </c>
      <c r="FU92" t="e">
        <f>AND(#REF!,"AAAAAH3ew7A=")</f>
        <v>#REF!</v>
      </c>
      <c r="FV92" t="e">
        <f>AND(#REF!,"AAAAAH3ew7E=")</f>
        <v>#REF!</v>
      </c>
      <c r="FW92" t="e">
        <f>AND(#REF!,"AAAAAH3ew7I=")</f>
        <v>#REF!</v>
      </c>
      <c r="FX92" t="e">
        <f>AND(#REF!,"AAAAAH3ew7M=")</f>
        <v>#REF!</v>
      </c>
      <c r="FY92" t="e">
        <f>AND(#REF!,"AAAAAH3ew7Q=")</f>
        <v>#REF!</v>
      </c>
      <c r="FZ92" t="e">
        <f>AND(#REF!,"AAAAAH3ew7U=")</f>
        <v>#REF!</v>
      </c>
      <c r="GA92" t="e">
        <f>AND(#REF!,"AAAAAH3ew7Y=")</f>
        <v>#REF!</v>
      </c>
      <c r="GB92" t="e">
        <f>AND(#REF!,"AAAAAH3ew7c=")</f>
        <v>#REF!</v>
      </c>
      <c r="GC92" t="e">
        <f>AND(#REF!,"AAAAAH3ew7g=")</f>
        <v>#REF!</v>
      </c>
      <c r="GD92" t="e">
        <f>AND(#REF!,"AAAAAH3ew7k=")</f>
        <v>#REF!</v>
      </c>
      <c r="GE92" t="e">
        <f>AND(#REF!,"AAAAAH3ew7o=")</f>
        <v>#REF!</v>
      </c>
      <c r="GF92" t="e">
        <f>AND(#REF!,"AAAAAH3ew7s=")</f>
        <v>#REF!</v>
      </c>
      <c r="GG92" t="e">
        <f>AND(#REF!,"AAAAAH3ew7w=")</f>
        <v>#REF!</v>
      </c>
      <c r="GH92" t="e">
        <f>AND(#REF!,"AAAAAH3ew70=")</f>
        <v>#REF!</v>
      </c>
      <c r="GI92" t="e">
        <f>AND(#REF!,"AAAAAH3ew74=")</f>
        <v>#REF!</v>
      </c>
      <c r="GJ92" t="e">
        <f>IF(#REF!,"AAAAAH3ew78=",0)</f>
        <v>#REF!</v>
      </c>
      <c r="GK92" t="e">
        <f>AND(#REF!,"AAAAAH3ew8A=")</f>
        <v>#REF!</v>
      </c>
      <c r="GL92" t="e">
        <f>AND(#REF!,"AAAAAH3ew8E=")</f>
        <v>#REF!</v>
      </c>
      <c r="GM92" t="e">
        <f>AND(#REF!,"AAAAAH3ew8I=")</f>
        <v>#REF!</v>
      </c>
      <c r="GN92" t="e">
        <f>AND(#REF!,"AAAAAH3ew8M=")</f>
        <v>#REF!</v>
      </c>
      <c r="GO92" t="e">
        <f>AND(#REF!,"AAAAAH3ew8Q=")</f>
        <v>#REF!</v>
      </c>
      <c r="GP92" t="e">
        <f>AND(#REF!,"AAAAAH3ew8U=")</f>
        <v>#REF!</v>
      </c>
      <c r="GQ92" t="e">
        <f>AND(#REF!,"AAAAAH3ew8Y=")</f>
        <v>#REF!</v>
      </c>
      <c r="GR92" t="e">
        <f>AND(#REF!,"AAAAAH3ew8c=")</f>
        <v>#REF!</v>
      </c>
      <c r="GS92" t="e">
        <f>AND(#REF!,"AAAAAH3ew8g=")</f>
        <v>#REF!</v>
      </c>
      <c r="GT92" t="e">
        <f>AND(#REF!,"AAAAAH3ew8k=")</f>
        <v>#REF!</v>
      </c>
      <c r="GU92" t="e">
        <f>AND(#REF!,"AAAAAH3ew8o=")</f>
        <v>#REF!</v>
      </c>
      <c r="GV92" t="e">
        <f>AND(#REF!,"AAAAAH3ew8s=")</f>
        <v>#REF!</v>
      </c>
      <c r="GW92" t="e">
        <f>AND(#REF!,"AAAAAH3ew8w=")</f>
        <v>#REF!</v>
      </c>
      <c r="GX92" t="e">
        <f>AND(#REF!,"AAAAAH3ew80=")</f>
        <v>#REF!</v>
      </c>
      <c r="GY92" t="e">
        <f>AND(#REF!,"AAAAAH3ew84=")</f>
        <v>#REF!</v>
      </c>
      <c r="GZ92" t="e">
        <f>AND(#REF!,"AAAAAH3ew88=")</f>
        <v>#REF!</v>
      </c>
      <c r="HA92" t="e">
        <f>AND(#REF!,"AAAAAH3ew9A=")</f>
        <v>#REF!</v>
      </c>
      <c r="HB92" t="e">
        <f>AND(#REF!,"AAAAAH3ew9E=")</f>
        <v>#REF!</v>
      </c>
      <c r="HC92" t="e">
        <f>AND(#REF!,"AAAAAH3ew9I=")</f>
        <v>#REF!</v>
      </c>
      <c r="HD92" t="e">
        <f>AND(#REF!,"AAAAAH3ew9M=")</f>
        <v>#REF!</v>
      </c>
      <c r="HE92" t="e">
        <f>AND(#REF!,"AAAAAH3ew9Q=")</f>
        <v>#REF!</v>
      </c>
      <c r="HF92" t="e">
        <f>AND(#REF!,"AAAAAH3ew9U=")</f>
        <v>#REF!</v>
      </c>
      <c r="HG92" t="e">
        <f>AND(#REF!,"AAAAAH3ew9Y=")</f>
        <v>#REF!</v>
      </c>
      <c r="HH92" t="e">
        <f>AND(#REF!,"AAAAAH3ew9c=")</f>
        <v>#REF!</v>
      </c>
      <c r="HI92" t="e">
        <f>AND(#REF!,"AAAAAH3ew9g=")</f>
        <v>#REF!</v>
      </c>
      <c r="HJ92" t="e">
        <f>AND(#REF!,"AAAAAH3ew9k=")</f>
        <v>#REF!</v>
      </c>
      <c r="HK92" t="e">
        <f>AND(#REF!,"AAAAAH3ew9o=")</f>
        <v>#REF!</v>
      </c>
      <c r="HL92" t="e">
        <f>AND(#REF!,"AAAAAH3ew9s=")</f>
        <v>#REF!</v>
      </c>
      <c r="HM92" t="e">
        <f>AND(#REF!,"AAAAAH3ew9w=")</f>
        <v>#REF!</v>
      </c>
      <c r="HN92" t="e">
        <f>AND(#REF!,"AAAAAH3ew90=")</f>
        <v>#REF!</v>
      </c>
      <c r="HO92" t="e">
        <f>AND(#REF!,"AAAAAH3ew94=")</f>
        <v>#REF!</v>
      </c>
      <c r="HP92" t="e">
        <f>AND(#REF!,"AAAAAH3ew98=")</f>
        <v>#REF!</v>
      </c>
      <c r="HQ92" t="e">
        <f>AND(#REF!,"AAAAAH3ew+A=")</f>
        <v>#REF!</v>
      </c>
      <c r="HR92" t="e">
        <f>AND(#REF!,"AAAAAH3ew+E=")</f>
        <v>#REF!</v>
      </c>
      <c r="HS92" t="e">
        <f>AND(#REF!,"AAAAAH3ew+I=")</f>
        <v>#REF!</v>
      </c>
      <c r="HT92" t="e">
        <f>AND(#REF!,"AAAAAH3ew+M=")</f>
        <v>#REF!</v>
      </c>
      <c r="HU92" t="e">
        <f>AND(#REF!,"AAAAAH3ew+Q=")</f>
        <v>#REF!</v>
      </c>
      <c r="HV92" t="e">
        <f>AND(#REF!,"AAAAAH3ew+U=")</f>
        <v>#REF!</v>
      </c>
      <c r="HW92" t="e">
        <f>AND(#REF!,"AAAAAH3ew+Y=")</f>
        <v>#REF!</v>
      </c>
      <c r="HX92" t="e">
        <f>AND(#REF!,"AAAAAH3ew+c=")</f>
        <v>#REF!</v>
      </c>
      <c r="HY92" t="e">
        <f>AND(#REF!,"AAAAAH3ew+g=")</f>
        <v>#REF!</v>
      </c>
      <c r="HZ92" t="e">
        <f>IF(#REF!,"AAAAAH3ew+k=",0)</f>
        <v>#REF!</v>
      </c>
      <c r="IA92" t="e">
        <f>AND(#REF!,"AAAAAH3ew+o=")</f>
        <v>#REF!</v>
      </c>
      <c r="IB92" t="e">
        <f>AND(#REF!,"AAAAAH3ew+s=")</f>
        <v>#REF!</v>
      </c>
      <c r="IC92" t="e">
        <f>AND(#REF!,"AAAAAH3ew+w=")</f>
        <v>#REF!</v>
      </c>
      <c r="ID92" t="e">
        <f>AND(#REF!,"AAAAAH3ew+0=")</f>
        <v>#REF!</v>
      </c>
      <c r="IE92" t="e">
        <f>AND(#REF!,"AAAAAH3ew+4=")</f>
        <v>#REF!</v>
      </c>
      <c r="IF92" t="e">
        <f>AND(#REF!,"AAAAAH3ew+8=")</f>
        <v>#REF!</v>
      </c>
      <c r="IG92" t="e">
        <f>AND(#REF!,"AAAAAH3ew/A=")</f>
        <v>#REF!</v>
      </c>
      <c r="IH92" t="e">
        <f>AND(#REF!,"AAAAAH3ew/E=")</f>
        <v>#REF!</v>
      </c>
      <c r="II92" t="e">
        <f>AND(#REF!,"AAAAAH3ew/I=")</f>
        <v>#REF!</v>
      </c>
      <c r="IJ92" t="e">
        <f>AND(#REF!,"AAAAAH3ew/M=")</f>
        <v>#REF!</v>
      </c>
      <c r="IK92" t="e">
        <f>AND(#REF!,"AAAAAH3ew/Q=")</f>
        <v>#REF!</v>
      </c>
      <c r="IL92" t="e">
        <f>AND(#REF!,"AAAAAH3ew/U=")</f>
        <v>#REF!</v>
      </c>
      <c r="IM92" t="e">
        <f>AND(#REF!,"AAAAAH3ew/Y=")</f>
        <v>#REF!</v>
      </c>
      <c r="IN92" t="e">
        <f>AND(#REF!,"AAAAAH3ew/c=")</f>
        <v>#REF!</v>
      </c>
      <c r="IO92" t="e">
        <f>AND(#REF!,"AAAAAH3ew/g=")</f>
        <v>#REF!</v>
      </c>
      <c r="IP92" t="e">
        <f>AND(#REF!,"AAAAAH3ew/k=")</f>
        <v>#REF!</v>
      </c>
      <c r="IQ92" t="e">
        <f>AND(#REF!,"AAAAAH3ew/o=")</f>
        <v>#REF!</v>
      </c>
      <c r="IR92" t="e">
        <f>AND(#REF!,"AAAAAH3ew/s=")</f>
        <v>#REF!</v>
      </c>
      <c r="IS92" t="e">
        <f>AND(#REF!,"AAAAAH3ew/w=")</f>
        <v>#REF!</v>
      </c>
      <c r="IT92" t="e">
        <f>AND(#REF!,"AAAAAH3ew/0=")</f>
        <v>#REF!</v>
      </c>
      <c r="IU92" t="e">
        <f>AND(#REF!,"AAAAAH3ew/4=")</f>
        <v>#REF!</v>
      </c>
      <c r="IV92" t="e">
        <f>AND(#REF!,"AAAAAH3ew/8=")</f>
        <v>#REF!</v>
      </c>
    </row>
    <row r="93" spans="1:256">
      <c r="A93" t="e">
        <f>AND(#REF!,"AAAAAF+27wA=")</f>
        <v>#REF!</v>
      </c>
      <c r="B93" t="e">
        <f>AND(#REF!,"AAAAAF+27wE=")</f>
        <v>#REF!</v>
      </c>
      <c r="C93" t="e">
        <f>AND(#REF!,"AAAAAF+27wI=")</f>
        <v>#REF!</v>
      </c>
      <c r="D93" t="e">
        <f>AND(#REF!,"AAAAAF+27wM=")</f>
        <v>#REF!</v>
      </c>
      <c r="E93" t="e">
        <f>AND(#REF!,"AAAAAF+27wQ=")</f>
        <v>#REF!</v>
      </c>
      <c r="F93" t="e">
        <f>AND(#REF!,"AAAAAF+27wU=")</f>
        <v>#REF!</v>
      </c>
      <c r="G93" t="e">
        <f>AND(#REF!,"AAAAAF+27wY=")</f>
        <v>#REF!</v>
      </c>
      <c r="H93" t="e">
        <f>AND(#REF!,"AAAAAF+27wc=")</f>
        <v>#REF!</v>
      </c>
      <c r="I93" t="e">
        <f>AND(#REF!,"AAAAAF+27wg=")</f>
        <v>#REF!</v>
      </c>
      <c r="J93" t="e">
        <f>AND(#REF!,"AAAAAF+27wk=")</f>
        <v>#REF!</v>
      </c>
      <c r="K93" t="e">
        <f>AND(#REF!,"AAAAAF+27wo=")</f>
        <v>#REF!</v>
      </c>
      <c r="L93" t="e">
        <f>AND(#REF!,"AAAAAF+27ws=")</f>
        <v>#REF!</v>
      </c>
      <c r="M93" t="e">
        <f>AND(#REF!,"AAAAAF+27ww=")</f>
        <v>#REF!</v>
      </c>
      <c r="N93" t="e">
        <f>AND(#REF!,"AAAAAF+27w0=")</f>
        <v>#REF!</v>
      </c>
      <c r="O93" t="e">
        <f>AND(#REF!,"AAAAAF+27w4=")</f>
        <v>#REF!</v>
      </c>
      <c r="P93" t="e">
        <f>AND(#REF!,"AAAAAF+27w8=")</f>
        <v>#REF!</v>
      </c>
      <c r="Q93" t="e">
        <f>AND(#REF!,"AAAAAF+27xA=")</f>
        <v>#REF!</v>
      </c>
      <c r="R93" t="e">
        <f>AND(#REF!,"AAAAAF+27xE=")</f>
        <v>#REF!</v>
      </c>
      <c r="S93" t="e">
        <f>AND(#REF!,"AAAAAF+27xI=")</f>
        <v>#REF!</v>
      </c>
      <c r="T93" t="e">
        <f>IF(#REF!,"AAAAAF+27xM=",0)</f>
        <v>#REF!</v>
      </c>
      <c r="U93" t="e">
        <f>AND(#REF!,"AAAAAF+27xQ=")</f>
        <v>#REF!</v>
      </c>
      <c r="V93" t="e">
        <f>AND(#REF!,"AAAAAF+27xU=")</f>
        <v>#REF!</v>
      </c>
      <c r="W93" t="e">
        <f>AND(#REF!,"AAAAAF+27xY=")</f>
        <v>#REF!</v>
      </c>
      <c r="X93" t="e">
        <f>AND(#REF!,"AAAAAF+27xc=")</f>
        <v>#REF!</v>
      </c>
      <c r="Y93" t="e">
        <f>AND(#REF!,"AAAAAF+27xg=")</f>
        <v>#REF!</v>
      </c>
      <c r="Z93" t="e">
        <f>AND(#REF!,"AAAAAF+27xk=")</f>
        <v>#REF!</v>
      </c>
      <c r="AA93" t="e">
        <f>AND(#REF!,"AAAAAF+27xo=")</f>
        <v>#REF!</v>
      </c>
      <c r="AB93" t="e">
        <f>AND(#REF!,"AAAAAF+27xs=")</f>
        <v>#REF!</v>
      </c>
      <c r="AC93" t="e">
        <f>AND(#REF!,"AAAAAF+27xw=")</f>
        <v>#REF!</v>
      </c>
      <c r="AD93" t="e">
        <f>AND(#REF!,"AAAAAF+27x0=")</f>
        <v>#REF!</v>
      </c>
      <c r="AE93" t="e">
        <f>AND(#REF!,"AAAAAF+27x4=")</f>
        <v>#REF!</v>
      </c>
      <c r="AF93" t="e">
        <f>AND(#REF!,"AAAAAF+27x8=")</f>
        <v>#REF!</v>
      </c>
      <c r="AG93" t="e">
        <f>AND(#REF!,"AAAAAF+27yA=")</f>
        <v>#REF!</v>
      </c>
      <c r="AH93" t="e">
        <f>AND(#REF!,"AAAAAF+27yE=")</f>
        <v>#REF!</v>
      </c>
      <c r="AI93" t="e">
        <f>AND(#REF!,"AAAAAF+27yI=")</f>
        <v>#REF!</v>
      </c>
      <c r="AJ93" t="e">
        <f>AND(#REF!,"AAAAAF+27yM=")</f>
        <v>#REF!</v>
      </c>
      <c r="AK93" t="e">
        <f>AND(#REF!,"AAAAAF+27yQ=")</f>
        <v>#REF!</v>
      </c>
      <c r="AL93" t="e">
        <f>AND(#REF!,"AAAAAF+27yU=")</f>
        <v>#REF!</v>
      </c>
      <c r="AM93" t="e">
        <f>AND(#REF!,"AAAAAF+27yY=")</f>
        <v>#REF!</v>
      </c>
      <c r="AN93" t="e">
        <f>AND(#REF!,"AAAAAF+27yc=")</f>
        <v>#REF!</v>
      </c>
      <c r="AO93" t="e">
        <f>AND(#REF!,"AAAAAF+27yg=")</f>
        <v>#REF!</v>
      </c>
      <c r="AP93" t="e">
        <f>AND(#REF!,"AAAAAF+27yk=")</f>
        <v>#REF!</v>
      </c>
      <c r="AQ93" t="e">
        <f>AND(#REF!,"AAAAAF+27yo=")</f>
        <v>#REF!</v>
      </c>
      <c r="AR93" t="e">
        <f>AND(#REF!,"AAAAAF+27ys=")</f>
        <v>#REF!</v>
      </c>
      <c r="AS93" t="e">
        <f>AND(#REF!,"AAAAAF+27yw=")</f>
        <v>#REF!</v>
      </c>
      <c r="AT93" t="e">
        <f>AND(#REF!,"AAAAAF+27y0=")</f>
        <v>#REF!</v>
      </c>
      <c r="AU93" t="e">
        <f>AND(#REF!,"AAAAAF+27y4=")</f>
        <v>#REF!</v>
      </c>
      <c r="AV93" t="e">
        <f>AND(#REF!,"AAAAAF+27y8=")</f>
        <v>#REF!</v>
      </c>
      <c r="AW93" t="e">
        <f>AND(#REF!,"AAAAAF+27zA=")</f>
        <v>#REF!</v>
      </c>
      <c r="AX93" t="e">
        <f>AND(#REF!,"AAAAAF+27zE=")</f>
        <v>#REF!</v>
      </c>
      <c r="AY93" t="e">
        <f>AND(#REF!,"AAAAAF+27zI=")</f>
        <v>#REF!</v>
      </c>
      <c r="AZ93" t="e">
        <f>AND(#REF!,"AAAAAF+27zM=")</f>
        <v>#REF!</v>
      </c>
      <c r="BA93" t="e">
        <f>AND(#REF!,"AAAAAF+27zQ=")</f>
        <v>#REF!</v>
      </c>
      <c r="BB93" t="e">
        <f>AND(#REF!,"AAAAAF+27zU=")</f>
        <v>#REF!</v>
      </c>
      <c r="BC93" t="e">
        <f>AND(#REF!,"AAAAAF+27zY=")</f>
        <v>#REF!</v>
      </c>
      <c r="BD93" t="e">
        <f>AND(#REF!,"AAAAAF+27zc=")</f>
        <v>#REF!</v>
      </c>
      <c r="BE93" t="e">
        <f>AND(#REF!,"AAAAAF+27zg=")</f>
        <v>#REF!</v>
      </c>
      <c r="BF93" t="e">
        <f>AND(#REF!,"AAAAAF+27zk=")</f>
        <v>#REF!</v>
      </c>
      <c r="BG93" t="e">
        <f>AND(#REF!,"AAAAAF+27zo=")</f>
        <v>#REF!</v>
      </c>
      <c r="BH93" t="e">
        <f>AND(#REF!,"AAAAAF+27zs=")</f>
        <v>#REF!</v>
      </c>
      <c r="BI93" t="e">
        <f>AND(#REF!,"AAAAAF+27zw=")</f>
        <v>#REF!</v>
      </c>
      <c r="BJ93" t="e">
        <f>IF(#REF!,"AAAAAF+27z0=",0)</f>
        <v>#REF!</v>
      </c>
      <c r="BK93" t="e">
        <f>AND(#REF!,"AAAAAF+27z4=")</f>
        <v>#REF!</v>
      </c>
      <c r="BL93" t="e">
        <f>AND(#REF!,"AAAAAF+27z8=")</f>
        <v>#REF!</v>
      </c>
      <c r="BM93" t="e">
        <f>AND(#REF!,"AAAAAF+270A=")</f>
        <v>#REF!</v>
      </c>
      <c r="BN93" t="e">
        <f>AND(#REF!,"AAAAAF+270E=")</f>
        <v>#REF!</v>
      </c>
      <c r="BO93" t="e">
        <f>AND(#REF!,"AAAAAF+270I=")</f>
        <v>#REF!</v>
      </c>
      <c r="BP93" t="e">
        <f>AND(#REF!,"AAAAAF+270M=")</f>
        <v>#REF!</v>
      </c>
      <c r="BQ93" t="e">
        <f>AND(#REF!,"AAAAAF+270Q=")</f>
        <v>#REF!</v>
      </c>
      <c r="BR93" t="e">
        <f>AND(#REF!,"AAAAAF+270U=")</f>
        <v>#REF!</v>
      </c>
      <c r="BS93" t="e">
        <f>AND(#REF!,"AAAAAF+270Y=")</f>
        <v>#REF!</v>
      </c>
      <c r="BT93" t="e">
        <f>AND(#REF!,"AAAAAF+270c=")</f>
        <v>#REF!</v>
      </c>
      <c r="BU93" t="e">
        <f>AND(#REF!,"AAAAAF+270g=")</f>
        <v>#REF!</v>
      </c>
      <c r="BV93" t="e">
        <f>AND(#REF!,"AAAAAF+270k=")</f>
        <v>#REF!</v>
      </c>
      <c r="BW93" t="e">
        <f>AND(#REF!,"AAAAAF+270o=")</f>
        <v>#REF!</v>
      </c>
      <c r="BX93" t="e">
        <f>AND(#REF!,"AAAAAF+270s=")</f>
        <v>#REF!</v>
      </c>
      <c r="BY93" t="e">
        <f>AND(#REF!,"AAAAAF+270w=")</f>
        <v>#REF!</v>
      </c>
      <c r="BZ93" t="e">
        <f>AND(#REF!,"AAAAAF+2700=")</f>
        <v>#REF!</v>
      </c>
      <c r="CA93" t="e">
        <f>AND(#REF!,"AAAAAF+2704=")</f>
        <v>#REF!</v>
      </c>
      <c r="CB93" t="e">
        <f>AND(#REF!,"AAAAAF+2708=")</f>
        <v>#REF!</v>
      </c>
      <c r="CC93" t="e">
        <f>AND(#REF!,"AAAAAF+271A=")</f>
        <v>#REF!</v>
      </c>
      <c r="CD93" t="e">
        <f>AND(#REF!,"AAAAAF+271E=")</f>
        <v>#REF!</v>
      </c>
      <c r="CE93" t="e">
        <f>AND(#REF!,"AAAAAF+271I=")</f>
        <v>#REF!</v>
      </c>
      <c r="CF93" t="e">
        <f>AND(#REF!,"AAAAAF+271M=")</f>
        <v>#REF!</v>
      </c>
      <c r="CG93" t="e">
        <f>AND(#REF!,"AAAAAF+271Q=")</f>
        <v>#REF!</v>
      </c>
      <c r="CH93" t="e">
        <f>AND(#REF!,"AAAAAF+271U=")</f>
        <v>#REF!</v>
      </c>
      <c r="CI93" t="e">
        <f>AND(#REF!,"AAAAAF+271Y=")</f>
        <v>#REF!</v>
      </c>
      <c r="CJ93" t="e">
        <f>AND(#REF!,"AAAAAF+271c=")</f>
        <v>#REF!</v>
      </c>
      <c r="CK93" t="e">
        <f>AND(#REF!,"AAAAAF+271g=")</f>
        <v>#REF!</v>
      </c>
      <c r="CL93" t="e">
        <f>AND(#REF!,"AAAAAF+271k=")</f>
        <v>#REF!</v>
      </c>
      <c r="CM93" t="e">
        <f>AND(#REF!,"AAAAAF+271o=")</f>
        <v>#REF!</v>
      </c>
      <c r="CN93" t="e">
        <f>AND(#REF!,"AAAAAF+271s=")</f>
        <v>#REF!</v>
      </c>
      <c r="CO93" t="e">
        <f>AND(#REF!,"AAAAAF+271w=")</f>
        <v>#REF!</v>
      </c>
      <c r="CP93" t="e">
        <f>AND(#REF!,"AAAAAF+2710=")</f>
        <v>#REF!</v>
      </c>
      <c r="CQ93" t="e">
        <f>AND(#REF!,"AAAAAF+2714=")</f>
        <v>#REF!</v>
      </c>
      <c r="CR93" t="e">
        <f>AND(#REF!,"AAAAAF+2718=")</f>
        <v>#REF!</v>
      </c>
      <c r="CS93" t="e">
        <f>AND(#REF!,"AAAAAF+272A=")</f>
        <v>#REF!</v>
      </c>
      <c r="CT93" t="e">
        <f>AND(#REF!,"AAAAAF+272E=")</f>
        <v>#REF!</v>
      </c>
      <c r="CU93" t="e">
        <f>AND(#REF!,"AAAAAF+272I=")</f>
        <v>#REF!</v>
      </c>
      <c r="CV93" t="e">
        <f>AND(#REF!,"AAAAAF+272M=")</f>
        <v>#REF!</v>
      </c>
      <c r="CW93" t="e">
        <f>AND(#REF!,"AAAAAF+272Q=")</f>
        <v>#REF!</v>
      </c>
      <c r="CX93" t="e">
        <f>AND(#REF!,"AAAAAF+272U=")</f>
        <v>#REF!</v>
      </c>
      <c r="CY93" t="e">
        <f>AND(#REF!,"AAAAAF+272Y=")</f>
        <v>#REF!</v>
      </c>
      <c r="CZ93" t="e">
        <f>IF(#REF!,"AAAAAF+272c=",0)</f>
        <v>#REF!</v>
      </c>
      <c r="DA93" t="e">
        <f>AND(#REF!,"AAAAAF+272g=")</f>
        <v>#REF!</v>
      </c>
      <c r="DB93" t="e">
        <f>AND(#REF!,"AAAAAF+272k=")</f>
        <v>#REF!</v>
      </c>
      <c r="DC93" t="e">
        <f>AND(#REF!,"AAAAAF+272o=")</f>
        <v>#REF!</v>
      </c>
      <c r="DD93" t="e">
        <f>AND(#REF!,"AAAAAF+272s=")</f>
        <v>#REF!</v>
      </c>
      <c r="DE93" t="e">
        <f>AND(#REF!,"AAAAAF+272w=")</f>
        <v>#REF!</v>
      </c>
      <c r="DF93" t="e">
        <f>AND(#REF!,"AAAAAF+2720=")</f>
        <v>#REF!</v>
      </c>
      <c r="DG93" t="e">
        <f>AND(#REF!,"AAAAAF+2724=")</f>
        <v>#REF!</v>
      </c>
      <c r="DH93" t="e">
        <f>AND(#REF!,"AAAAAF+2728=")</f>
        <v>#REF!</v>
      </c>
      <c r="DI93" t="e">
        <f>AND(#REF!,"AAAAAF+273A=")</f>
        <v>#REF!</v>
      </c>
      <c r="DJ93" t="e">
        <f>AND(#REF!,"AAAAAF+273E=")</f>
        <v>#REF!</v>
      </c>
      <c r="DK93" t="e">
        <f>AND(#REF!,"AAAAAF+273I=")</f>
        <v>#REF!</v>
      </c>
      <c r="DL93" t="e">
        <f>AND(#REF!,"AAAAAF+273M=")</f>
        <v>#REF!</v>
      </c>
      <c r="DM93" t="e">
        <f>AND(#REF!,"AAAAAF+273Q=")</f>
        <v>#REF!</v>
      </c>
      <c r="DN93" t="e">
        <f>AND(#REF!,"AAAAAF+273U=")</f>
        <v>#REF!</v>
      </c>
      <c r="DO93" t="e">
        <f>AND(#REF!,"AAAAAF+273Y=")</f>
        <v>#REF!</v>
      </c>
      <c r="DP93" t="e">
        <f>AND(#REF!,"AAAAAF+273c=")</f>
        <v>#REF!</v>
      </c>
      <c r="DQ93" t="e">
        <f>AND(#REF!,"AAAAAF+273g=")</f>
        <v>#REF!</v>
      </c>
      <c r="DR93" t="e">
        <f>AND(#REF!,"AAAAAF+273k=")</f>
        <v>#REF!</v>
      </c>
      <c r="DS93" t="e">
        <f>AND(#REF!,"AAAAAF+273o=")</f>
        <v>#REF!</v>
      </c>
      <c r="DT93" t="e">
        <f>AND(#REF!,"AAAAAF+273s=")</f>
        <v>#REF!</v>
      </c>
      <c r="DU93" t="e">
        <f>AND(#REF!,"AAAAAF+273w=")</f>
        <v>#REF!</v>
      </c>
      <c r="DV93" t="e">
        <f>AND(#REF!,"AAAAAF+2730=")</f>
        <v>#REF!</v>
      </c>
      <c r="DW93" t="e">
        <f>AND(#REF!,"AAAAAF+2734=")</f>
        <v>#REF!</v>
      </c>
      <c r="DX93" t="e">
        <f>AND(#REF!,"AAAAAF+2738=")</f>
        <v>#REF!</v>
      </c>
      <c r="DY93" t="e">
        <f>AND(#REF!,"AAAAAF+274A=")</f>
        <v>#REF!</v>
      </c>
      <c r="DZ93" t="e">
        <f>AND(#REF!,"AAAAAF+274E=")</f>
        <v>#REF!</v>
      </c>
      <c r="EA93" t="e">
        <f>AND(#REF!,"AAAAAF+274I=")</f>
        <v>#REF!</v>
      </c>
      <c r="EB93" t="e">
        <f>AND(#REF!,"AAAAAF+274M=")</f>
        <v>#REF!</v>
      </c>
      <c r="EC93" t="e">
        <f>AND(#REF!,"AAAAAF+274Q=")</f>
        <v>#REF!</v>
      </c>
      <c r="ED93" t="e">
        <f>AND(#REF!,"AAAAAF+274U=")</f>
        <v>#REF!</v>
      </c>
      <c r="EE93" t="e">
        <f>AND(#REF!,"AAAAAF+274Y=")</f>
        <v>#REF!</v>
      </c>
      <c r="EF93" t="e">
        <f>AND(#REF!,"AAAAAF+274c=")</f>
        <v>#REF!</v>
      </c>
      <c r="EG93" t="e">
        <f>AND(#REF!,"AAAAAF+274g=")</f>
        <v>#REF!</v>
      </c>
      <c r="EH93" t="e">
        <f>AND(#REF!,"AAAAAF+274k=")</f>
        <v>#REF!</v>
      </c>
      <c r="EI93" t="e">
        <f>AND(#REF!,"AAAAAF+274o=")</f>
        <v>#REF!</v>
      </c>
      <c r="EJ93" t="e">
        <f>AND(#REF!,"AAAAAF+274s=")</f>
        <v>#REF!</v>
      </c>
      <c r="EK93" t="e">
        <f>AND(#REF!,"AAAAAF+274w=")</f>
        <v>#REF!</v>
      </c>
      <c r="EL93" t="e">
        <f>AND(#REF!,"AAAAAF+2740=")</f>
        <v>#REF!</v>
      </c>
      <c r="EM93" t="e">
        <f>AND(#REF!,"AAAAAF+2744=")</f>
        <v>#REF!</v>
      </c>
      <c r="EN93" t="e">
        <f>AND(#REF!,"AAAAAF+2748=")</f>
        <v>#REF!</v>
      </c>
      <c r="EO93" t="e">
        <f>AND(#REF!,"AAAAAF+275A=")</f>
        <v>#REF!</v>
      </c>
      <c r="EP93" t="e">
        <f>IF(#REF!,"AAAAAF+275E=",0)</f>
        <v>#REF!</v>
      </c>
      <c r="EQ93" t="e">
        <f>IF(#REF!,"AAAAAF+275I=",0)</f>
        <v>#REF!</v>
      </c>
      <c r="ER93" t="e">
        <f>IF(#REF!,"AAAAAF+275M=",0)</f>
        <v>#REF!</v>
      </c>
      <c r="ES93" t="e">
        <f>IF(#REF!,"AAAAAF+275Q=",0)</f>
        <v>#REF!</v>
      </c>
      <c r="ET93" t="e">
        <f>IF(#REF!,"AAAAAF+275U=",0)</f>
        <v>#REF!</v>
      </c>
      <c r="EU93" t="e">
        <f>IF(#REF!,"AAAAAF+275Y=",0)</f>
        <v>#REF!</v>
      </c>
      <c r="EV93" t="e">
        <f>IF(#REF!,"AAAAAF+275c=",0)</f>
        <v>#REF!</v>
      </c>
      <c r="EW93" t="e">
        <f>IF(#REF!,"AAAAAF+275g=",0)</f>
        <v>#REF!</v>
      </c>
      <c r="EX93" t="e">
        <f>IF(#REF!,"AAAAAF+275k=",0)</f>
        <v>#REF!</v>
      </c>
      <c r="EY93" t="e">
        <f>IF(#REF!,"AAAAAF+275o=",0)</f>
        <v>#REF!</v>
      </c>
      <c r="EZ93" t="e">
        <f>IF(#REF!,"AAAAAF+275s=",0)</f>
        <v>#REF!</v>
      </c>
      <c r="FA93" t="e">
        <f>IF(#REF!,"AAAAAF+275w=",0)</f>
        <v>#REF!</v>
      </c>
      <c r="FB93" t="e">
        <f>IF(#REF!,"AAAAAF+2750=",0)</f>
        <v>#REF!</v>
      </c>
      <c r="FC93" t="e">
        <f>IF(#REF!,"AAAAAF+2754=",0)</f>
        <v>#REF!</v>
      </c>
      <c r="FD93" t="e">
        <f>IF(#REF!,"AAAAAF+2758=",0)</f>
        <v>#REF!</v>
      </c>
      <c r="FE93" t="e">
        <f>IF(#REF!,"AAAAAF+276A=",0)</f>
        <v>#REF!</v>
      </c>
      <c r="FF93" t="e">
        <f>IF(#REF!,"AAAAAF+276E=",0)</f>
        <v>#REF!</v>
      </c>
      <c r="FG93" t="e">
        <f>IF(#REF!,"AAAAAF+276I=",0)</f>
        <v>#REF!</v>
      </c>
      <c r="FH93" t="e">
        <f>IF(#REF!,"AAAAAF+276M=",0)</f>
        <v>#REF!</v>
      </c>
      <c r="FI93" t="e">
        <f>IF(#REF!,"AAAAAF+276Q=",0)</f>
        <v>#REF!</v>
      </c>
      <c r="FJ93" t="e">
        <f>IF(#REF!,"AAAAAF+276U=",0)</f>
        <v>#REF!</v>
      </c>
      <c r="FK93" t="e">
        <f>IF(#REF!,"AAAAAF+276Y=",0)</f>
        <v>#REF!</v>
      </c>
      <c r="FL93" t="e">
        <f>IF(#REF!,"AAAAAF+276c=",0)</f>
        <v>#REF!</v>
      </c>
      <c r="FM93" t="e">
        <f>IF(#REF!,"AAAAAF+276g=",0)</f>
        <v>#REF!</v>
      </c>
      <c r="FN93" t="e">
        <f>IF(#REF!,"AAAAAF+276k=",0)</f>
        <v>#REF!</v>
      </c>
      <c r="FO93" t="e">
        <f>IF(#REF!,"AAAAAF+276o=",0)</f>
        <v>#REF!</v>
      </c>
      <c r="FP93" t="e">
        <f>IF(#REF!,"AAAAAF+276s=",0)</f>
        <v>#REF!</v>
      </c>
      <c r="FQ93" t="e">
        <f>IF(#REF!,"AAAAAF+276w=",0)</f>
        <v>#REF!</v>
      </c>
      <c r="FR93" t="e">
        <f>IF(#REF!,"AAAAAF+2760=",0)</f>
        <v>#REF!</v>
      </c>
      <c r="FS93" t="e">
        <f>IF(#REF!,"AAAAAF+2764=",0)</f>
        <v>#REF!</v>
      </c>
      <c r="FT93" t="e">
        <f>IF(#REF!,"AAAAAF+2768=",0)</f>
        <v>#REF!</v>
      </c>
      <c r="FU93" t="e">
        <f>IF(#REF!,"AAAAAF+277A=",0)</f>
        <v>#REF!</v>
      </c>
      <c r="FV93" t="e">
        <f>IF(#REF!,"AAAAAF+277E=",0)</f>
        <v>#REF!</v>
      </c>
      <c r="FW93" t="e">
        <f>IF(#REF!,"AAAAAF+277I=",0)</f>
        <v>#REF!</v>
      </c>
      <c r="FX93" t="e">
        <f>IF(#REF!,"AAAAAF+277M=",0)</f>
        <v>#REF!</v>
      </c>
      <c r="FY93" t="e">
        <f>IF(#REF!,"AAAAAF+277Q=",0)</f>
        <v>#REF!</v>
      </c>
      <c r="FZ93" t="e">
        <f>IF(#REF!,"AAAAAF+277U=",0)</f>
        <v>#REF!</v>
      </c>
      <c r="GA93" t="e">
        <f>IF(#REF!,"AAAAAF+277Y=",0)</f>
        <v>#REF!</v>
      </c>
      <c r="GB93" t="e">
        <f>IF(#REF!,"AAAAAF+277c=",0)</f>
        <v>#REF!</v>
      </c>
      <c r="GC93" t="e">
        <f>IF(#REF!,"AAAAAF+277g=",0)</f>
        <v>#REF!</v>
      </c>
      <c r="GD93" t="e">
        <f>IF(#REF!,"AAAAAF+277k=",0)</f>
        <v>#REF!</v>
      </c>
      <c r="GE93" t="e">
        <f>IF(#REF!,"AAAAAF+277o=",0)</f>
        <v>#REF!</v>
      </c>
      <c r="GF93" t="e">
        <f>IF(#REF!,"AAAAAF+277s=",0)</f>
        <v>#REF!</v>
      </c>
      <c r="GG93" t="e">
        <f>IF(#REF!,"AAAAAF+277w=",0)</f>
        <v>#REF!</v>
      </c>
      <c r="GH93" t="e">
        <f>IF(#REF!,"AAAAAF+2770=",0)</f>
        <v>#REF!</v>
      </c>
      <c r="GI93" t="e">
        <f>IF(#REF!,"AAAAAF+2774=",0)</f>
        <v>#REF!</v>
      </c>
      <c r="GJ93" t="e">
        <f>IF(#REF!,"AAAAAF+2778=",0)</f>
        <v>#REF!</v>
      </c>
      <c r="GK93" t="e">
        <f>IF(#REF!,"AAAAAF+278A=",0)</f>
        <v>#REF!</v>
      </c>
      <c r="GL93" t="e">
        <f>IF(#REF!,"AAAAAF+278E=",0)</f>
        <v>#REF!</v>
      </c>
      <c r="GM93" t="e">
        <f>IF(#REF!,"AAAAAF+278I=",0)</f>
        <v>#REF!</v>
      </c>
      <c r="GN93" t="e">
        <f>IF(#REF!,"AAAAAF+278M=",0)</f>
        <v>#REF!</v>
      </c>
      <c r="GO93" t="e">
        <f>IF(#REF!,"AAAAAF+278Q=",0)</f>
        <v>#REF!</v>
      </c>
      <c r="GP93" t="e">
        <f>IF(#REF!,"AAAAAF+278U=",0)</f>
        <v>#REF!</v>
      </c>
      <c r="GQ93" t="e">
        <f>IF(#REF!,"AAAAAF+278Y=",0)</f>
        <v>#REF!</v>
      </c>
      <c r="GR93" t="e">
        <f>IF(#REF!,"AAAAAF+278c=",0)</f>
        <v>#REF!</v>
      </c>
      <c r="GS93" t="e">
        <f>IF(#REF!,"AAAAAF+278g=",0)</f>
        <v>#REF!</v>
      </c>
      <c r="GT93" t="e">
        <f>IF(#REF!,"AAAAAF+278k=",0)</f>
        <v>#REF!</v>
      </c>
      <c r="GU93" t="e">
        <f>IF(#REF!,"AAAAAF+278o=",0)</f>
        <v>#REF!</v>
      </c>
      <c r="GV93" t="e">
        <f>IF(#REF!,"AAAAAF+278s=",0)</f>
        <v>#REF!</v>
      </c>
      <c r="GW93" t="e">
        <f>IF(#REF!,"AAAAAF+278w=",0)</f>
        <v>#REF!</v>
      </c>
      <c r="GX93" t="e">
        <f>AND(#REF!,"AAAAAF+2780=")</f>
        <v>#REF!</v>
      </c>
      <c r="GY93" t="e">
        <f>AND(#REF!,"AAAAAF+2784=")</f>
        <v>#REF!</v>
      </c>
      <c r="GZ93" t="e">
        <f>AND(#REF!,"AAAAAF+2788=")</f>
        <v>#REF!</v>
      </c>
      <c r="HA93" t="e">
        <f>AND(#REF!,"AAAAAF+279A=")</f>
        <v>#REF!</v>
      </c>
      <c r="HB93" t="e">
        <f>AND(#REF!,"AAAAAF+279E=")</f>
        <v>#REF!</v>
      </c>
      <c r="HC93" t="e">
        <f>AND(#REF!,"AAAAAF+279I=")</f>
        <v>#REF!</v>
      </c>
      <c r="HD93" t="e">
        <f>AND(#REF!,"AAAAAF+279M=")</f>
        <v>#REF!</v>
      </c>
      <c r="HE93" t="e">
        <f>AND(#REF!,"AAAAAF+279Q=")</f>
        <v>#REF!</v>
      </c>
      <c r="HF93" t="e">
        <f>AND(#REF!,"AAAAAF+279U=")</f>
        <v>#REF!</v>
      </c>
      <c r="HG93" t="e">
        <f>AND(#REF!,"AAAAAF+279Y=")</f>
        <v>#REF!</v>
      </c>
      <c r="HH93" t="e">
        <f>AND(#REF!,"AAAAAF+279c=")</f>
        <v>#REF!</v>
      </c>
      <c r="HI93" t="e">
        <f>AND(#REF!,"AAAAAF+279g=")</f>
        <v>#REF!</v>
      </c>
      <c r="HJ93" t="e">
        <f>AND(#REF!,"AAAAAF+279k=")</f>
        <v>#REF!</v>
      </c>
      <c r="HK93" t="e">
        <f>AND(#REF!,"AAAAAF+279o=")</f>
        <v>#REF!</v>
      </c>
      <c r="HL93" t="e">
        <f>AND(#REF!,"AAAAAF+279s=")</f>
        <v>#REF!</v>
      </c>
      <c r="HM93" t="e">
        <f>IF(#REF!,"AAAAAF+279w=",0)</f>
        <v>#REF!</v>
      </c>
      <c r="HN93" t="e">
        <f>AND(#REF!,"AAAAAF+2790=")</f>
        <v>#REF!</v>
      </c>
      <c r="HO93" t="e">
        <f>AND(#REF!,"AAAAAF+2794=")</f>
        <v>#REF!</v>
      </c>
      <c r="HP93" t="e">
        <f>AND(#REF!,"AAAAAF+2798=")</f>
        <v>#REF!</v>
      </c>
      <c r="HQ93" t="e">
        <f>AND(#REF!,"AAAAAF+27+A=")</f>
        <v>#REF!</v>
      </c>
      <c r="HR93" t="e">
        <f>AND(#REF!,"AAAAAF+27+E=")</f>
        <v>#REF!</v>
      </c>
      <c r="HS93" t="e">
        <f>AND(#REF!,"AAAAAF+27+I=")</f>
        <v>#REF!</v>
      </c>
      <c r="HT93" t="e">
        <f>AND(#REF!,"AAAAAF+27+M=")</f>
        <v>#REF!</v>
      </c>
      <c r="HU93" t="e">
        <f>AND(#REF!,"AAAAAF+27+Q=")</f>
        <v>#REF!</v>
      </c>
      <c r="HV93" t="e">
        <f>AND(#REF!,"AAAAAF+27+U=")</f>
        <v>#REF!</v>
      </c>
      <c r="HW93" t="e">
        <f>AND(#REF!,"AAAAAF+27+Y=")</f>
        <v>#REF!</v>
      </c>
      <c r="HX93" t="e">
        <f>AND(#REF!,"AAAAAF+27+c=")</f>
        <v>#REF!</v>
      </c>
      <c r="HY93" t="e">
        <f>AND(#REF!,"AAAAAF+27+g=")</f>
        <v>#REF!</v>
      </c>
      <c r="HZ93" t="e">
        <f>AND(#REF!,"AAAAAF+27+k=")</f>
        <v>#REF!</v>
      </c>
      <c r="IA93" t="e">
        <f>AND(#REF!,"AAAAAF+27+o=")</f>
        <v>#REF!</v>
      </c>
      <c r="IB93" t="e">
        <f>AND(#REF!,"AAAAAF+27+s=")</f>
        <v>#REF!</v>
      </c>
      <c r="IC93" t="e">
        <f>IF(#REF!,"AAAAAF+27+w=",0)</f>
        <v>#REF!</v>
      </c>
      <c r="ID93" t="e">
        <f>AND(#REF!,"AAAAAF+27+0=")</f>
        <v>#REF!</v>
      </c>
      <c r="IE93" t="e">
        <f>AND(#REF!,"AAAAAF+27+4=")</f>
        <v>#REF!</v>
      </c>
      <c r="IF93" t="e">
        <f>AND(#REF!,"AAAAAF+27+8=")</f>
        <v>#REF!</v>
      </c>
      <c r="IG93" t="e">
        <f>AND(#REF!,"AAAAAF+27/A=")</f>
        <v>#REF!</v>
      </c>
      <c r="IH93" t="e">
        <f>AND(#REF!,"AAAAAF+27/E=")</f>
        <v>#REF!</v>
      </c>
      <c r="II93" t="e">
        <f>AND(#REF!,"AAAAAF+27/I=")</f>
        <v>#REF!</v>
      </c>
      <c r="IJ93" t="e">
        <f>AND(#REF!,"AAAAAF+27/M=")</f>
        <v>#REF!</v>
      </c>
      <c r="IK93" t="e">
        <f>AND(#REF!,"AAAAAF+27/Q=")</f>
        <v>#REF!</v>
      </c>
      <c r="IL93" t="e">
        <f>AND(#REF!,"AAAAAF+27/U=")</f>
        <v>#REF!</v>
      </c>
      <c r="IM93" t="e">
        <f>AND(#REF!,"AAAAAF+27/Y=")</f>
        <v>#REF!</v>
      </c>
      <c r="IN93" t="e">
        <f>AND(#REF!,"AAAAAF+27/c=")</f>
        <v>#REF!</v>
      </c>
      <c r="IO93" t="e">
        <f>AND(#REF!,"AAAAAF+27/g=")</f>
        <v>#REF!</v>
      </c>
      <c r="IP93" t="e">
        <f>AND(#REF!,"AAAAAF+27/k=")</f>
        <v>#REF!</v>
      </c>
      <c r="IQ93" t="e">
        <f>AND(#REF!,"AAAAAF+27/o=")</f>
        <v>#REF!</v>
      </c>
      <c r="IR93" t="e">
        <f>AND(#REF!,"AAAAAF+27/s=")</f>
        <v>#REF!</v>
      </c>
      <c r="IS93" t="e">
        <f>IF(#REF!,"AAAAAF+27/w=",0)</f>
        <v>#REF!</v>
      </c>
      <c r="IT93" t="e">
        <f>AND(#REF!,"AAAAAF+27/0=")</f>
        <v>#REF!</v>
      </c>
      <c r="IU93" t="e">
        <f>AND(#REF!,"AAAAAF+27/4=")</f>
        <v>#REF!</v>
      </c>
      <c r="IV93" t="e">
        <f>AND(#REF!,"AAAAAF+27/8=")</f>
        <v>#REF!</v>
      </c>
    </row>
    <row r="94" spans="1:256">
      <c r="A94" t="e">
        <f>AND(#REF!,"AAAAAH/l/gA=")</f>
        <v>#REF!</v>
      </c>
      <c r="B94" t="e">
        <f>AND(#REF!,"AAAAAH/l/gE=")</f>
        <v>#REF!</v>
      </c>
      <c r="C94" t="e">
        <f>AND(#REF!,"AAAAAH/l/gI=")</f>
        <v>#REF!</v>
      </c>
      <c r="D94" t="e">
        <f>AND(#REF!,"AAAAAH/l/gM=")</f>
        <v>#REF!</v>
      </c>
      <c r="E94" t="e">
        <f>AND(#REF!,"AAAAAH/l/gQ=")</f>
        <v>#REF!</v>
      </c>
      <c r="F94" t="e">
        <f>AND(#REF!,"AAAAAH/l/gU=")</f>
        <v>#REF!</v>
      </c>
      <c r="G94" t="e">
        <f>AND(#REF!,"AAAAAH/l/gY=")</f>
        <v>#REF!</v>
      </c>
      <c r="H94" t="e">
        <f>AND(#REF!,"AAAAAH/l/gc=")</f>
        <v>#REF!</v>
      </c>
      <c r="I94" t="e">
        <f>AND(#REF!,"AAAAAH/l/gg=")</f>
        <v>#REF!</v>
      </c>
      <c r="J94" t="e">
        <f>AND(#REF!,"AAAAAH/l/gk=")</f>
        <v>#REF!</v>
      </c>
      <c r="K94" t="e">
        <f>AND(#REF!,"AAAAAH/l/go=")</f>
        <v>#REF!</v>
      </c>
      <c r="L94" t="e">
        <f>AND(#REF!,"AAAAAH/l/gs=")</f>
        <v>#REF!</v>
      </c>
      <c r="M94" t="e">
        <f>IF(#REF!,"AAAAAH/l/gw=",0)</f>
        <v>#REF!</v>
      </c>
      <c r="N94" t="e">
        <f>AND(#REF!,"AAAAAH/l/g0=")</f>
        <v>#REF!</v>
      </c>
      <c r="O94" t="e">
        <f>AND(#REF!,"AAAAAH/l/g4=")</f>
        <v>#REF!</v>
      </c>
      <c r="P94" t="e">
        <f>AND(#REF!,"AAAAAH/l/g8=")</f>
        <v>#REF!</v>
      </c>
      <c r="Q94" t="e">
        <f>AND(#REF!,"AAAAAH/l/hA=")</f>
        <v>#REF!</v>
      </c>
      <c r="R94" t="e">
        <f>AND(#REF!,"AAAAAH/l/hE=")</f>
        <v>#REF!</v>
      </c>
      <c r="S94" t="e">
        <f>AND(#REF!,"AAAAAH/l/hI=")</f>
        <v>#REF!</v>
      </c>
      <c r="T94" t="e">
        <f>AND(#REF!,"AAAAAH/l/hM=")</f>
        <v>#REF!</v>
      </c>
      <c r="U94" t="e">
        <f>AND(#REF!,"AAAAAH/l/hQ=")</f>
        <v>#REF!</v>
      </c>
      <c r="V94" t="e">
        <f>AND(#REF!,"AAAAAH/l/hU=")</f>
        <v>#REF!</v>
      </c>
      <c r="W94" t="e">
        <f>AND(#REF!,"AAAAAH/l/hY=")</f>
        <v>#REF!</v>
      </c>
      <c r="X94" t="e">
        <f>AND(#REF!,"AAAAAH/l/hc=")</f>
        <v>#REF!</v>
      </c>
      <c r="Y94" t="e">
        <f>AND(#REF!,"AAAAAH/l/hg=")</f>
        <v>#REF!</v>
      </c>
      <c r="Z94" t="e">
        <f>AND(#REF!,"AAAAAH/l/hk=")</f>
        <v>#REF!</v>
      </c>
      <c r="AA94" t="e">
        <f>AND(#REF!,"AAAAAH/l/ho=")</f>
        <v>#REF!</v>
      </c>
      <c r="AB94" t="e">
        <f>AND(#REF!,"AAAAAH/l/hs=")</f>
        <v>#REF!</v>
      </c>
      <c r="AC94" t="e">
        <f>IF(#REF!,"AAAAAH/l/hw=",0)</f>
        <v>#REF!</v>
      </c>
      <c r="AD94" t="e">
        <f>AND(#REF!,"AAAAAH/l/h0=")</f>
        <v>#REF!</v>
      </c>
      <c r="AE94" t="e">
        <f>AND(#REF!,"AAAAAH/l/h4=")</f>
        <v>#REF!</v>
      </c>
      <c r="AF94" t="e">
        <f>AND(#REF!,"AAAAAH/l/h8=")</f>
        <v>#REF!</v>
      </c>
      <c r="AG94" t="e">
        <f>AND(#REF!,"AAAAAH/l/iA=")</f>
        <v>#REF!</v>
      </c>
      <c r="AH94" t="e">
        <f>AND(#REF!,"AAAAAH/l/iE=")</f>
        <v>#REF!</v>
      </c>
      <c r="AI94" t="e">
        <f>AND(#REF!,"AAAAAH/l/iI=")</f>
        <v>#REF!</v>
      </c>
      <c r="AJ94" t="e">
        <f>AND(#REF!,"AAAAAH/l/iM=")</f>
        <v>#REF!</v>
      </c>
      <c r="AK94" t="e">
        <f>AND(#REF!,"AAAAAH/l/iQ=")</f>
        <v>#REF!</v>
      </c>
      <c r="AL94" t="e">
        <f>AND(#REF!,"AAAAAH/l/iU=")</f>
        <v>#REF!</v>
      </c>
      <c r="AM94" t="e">
        <f>AND(#REF!,"AAAAAH/l/iY=")</f>
        <v>#REF!</v>
      </c>
      <c r="AN94" t="e">
        <f>AND(#REF!,"AAAAAH/l/ic=")</f>
        <v>#REF!</v>
      </c>
      <c r="AO94" t="e">
        <f>AND(#REF!,"AAAAAH/l/ig=")</f>
        <v>#REF!</v>
      </c>
      <c r="AP94" t="e">
        <f>AND(#REF!,"AAAAAH/l/ik=")</f>
        <v>#REF!</v>
      </c>
      <c r="AQ94" t="e">
        <f>AND(#REF!,"AAAAAH/l/io=")</f>
        <v>#REF!</v>
      </c>
      <c r="AR94" t="e">
        <f>AND(#REF!,"AAAAAH/l/is=")</f>
        <v>#REF!</v>
      </c>
      <c r="AS94" t="e">
        <f>IF(#REF!,"AAAAAH/l/iw=",0)</f>
        <v>#REF!</v>
      </c>
      <c r="AT94" t="e">
        <f>AND(#REF!,"AAAAAH/l/i0=")</f>
        <v>#REF!</v>
      </c>
      <c r="AU94" t="e">
        <f>AND(#REF!,"AAAAAH/l/i4=")</f>
        <v>#REF!</v>
      </c>
      <c r="AV94" t="e">
        <f>AND(#REF!,"AAAAAH/l/i8=")</f>
        <v>#REF!</v>
      </c>
      <c r="AW94" t="e">
        <f>AND(#REF!,"AAAAAH/l/jA=")</f>
        <v>#REF!</v>
      </c>
      <c r="AX94" t="e">
        <f>AND(#REF!,"AAAAAH/l/jE=")</f>
        <v>#REF!</v>
      </c>
      <c r="AY94" t="e">
        <f>AND(#REF!,"AAAAAH/l/jI=")</f>
        <v>#REF!</v>
      </c>
      <c r="AZ94" t="e">
        <f>AND(#REF!,"AAAAAH/l/jM=")</f>
        <v>#REF!</v>
      </c>
      <c r="BA94" t="e">
        <f>AND(#REF!,"AAAAAH/l/jQ=")</f>
        <v>#REF!</v>
      </c>
      <c r="BB94" t="e">
        <f>AND(#REF!,"AAAAAH/l/jU=")</f>
        <v>#REF!</v>
      </c>
      <c r="BC94" t="e">
        <f>AND(#REF!,"AAAAAH/l/jY=")</f>
        <v>#REF!</v>
      </c>
      <c r="BD94" t="e">
        <f>AND(#REF!,"AAAAAH/l/jc=")</f>
        <v>#REF!</v>
      </c>
      <c r="BE94" t="e">
        <f>AND(#REF!,"AAAAAH/l/jg=")</f>
        <v>#REF!</v>
      </c>
      <c r="BF94" t="e">
        <f>AND(#REF!,"AAAAAH/l/jk=")</f>
        <v>#REF!</v>
      </c>
      <c r="BG94" t="e">
        <f>AND(#REF!,"AAAAAH/l/jo=")</f>
        <v>#REF!</v>
      </c>
      <c r="BH94" t="e">
        <f>AND(#REF!,"AAAAAH/l/js=")</f>
        <v>#REF!</v>
      </c>
      <c r="BI94" t="e">
        <f>IF(#REF!,"AAAAAH/l/jw=",0)</f>
        <v>#REF!</v>
      </c>
      <c r="BJ94" t="e">
        <f>AND(#REF!,"AAAAAH/l/j0=")</f>
        <v>#REF!</v>
      </c>
      <c r="BK94" t="e">
        <f>AND(#REF!,"AAAAAH/l/j4=")</f>
        <v>#REF!</v>
      </c>
      <c r="BL94" t="e">
        <f>AND(#REF!,"AAAAAH/l/j8=")</f>
        <v>#REF!</v>
      </c>
      <c r="BM94" t="e">
        <f>AND(#REF!,"AAAAAH/l/kA=")</f>
        <v>#REF!</v>
      </c>
      <c r="BN94" t="e">
        <f>AND(#REF!,"AAAAAH/l/kE=")</f>
        <v>#REF!</v>
      </c>
      <c r="BO94" t="e">
        <f>AND(#REF!,"AAAAAH/l/kI=")</f>
        <v>#REF!</v>
      </c>
      <c r="BP94" t="e">
        <f>AND(#REF!,"AAAAAH/l/kM=")</f>
        <v>#REF!</v>
      </c>
      <c r="BQ94" t="e">
        <f>AND(#REF!,"AAAAAH/l/kQ=")</f>
        <v>#REF!</v>
      </c>
      <c r="BR94" t="e">
        <f>AND(#REF!,"AAAAAH/l/kU=")</f>
        <v>#REF!</v>
      </c>
      <c r="BS94" t="e">
        <f>AND(#REF!,"AAAAAH/l/kY=")</f>
        <v>#REF!</v>
      </c>
      <c r="BT94" t="e">
        <f>AND(#REF!,"AAAAAH/l/kc=")</f>
        <v>#REF!</v>
      </c>
      <c r="BU94" t="e">
        <f>AND(#REF!,"AAAAAH/l/kg=")</f>
        <v>#REF!</v>
      </c>
      <c r="BV94" t="e">
        <f>AND(#REF!,"AAAAAH/l/kk=")</f>
        <v>#REF!</v>
      </c>
      <c r="BW94" t="e">
        <f>AND(#REF!,"AAAAAH/l/ko=")</f>
        <v>#REF!</v>
      </c>
      <c r="BX94" t="e">
        <f>AND(#REF!,"AAAAAH/l/ks=")</f>
        <v>#REF!</v>
      </c>
      <c r="BY94" t="e">
        <f>IF(#REF!,"AAAAAH/l/kw=",0)</f>
        <v>#REF!</v>
      </c>
      <c r="BZ94" t="e">
        <f>AND(#REF!,"AAAAAH/l/k0=")</f>
        <v>#REF!</v>
      </c>
      <c r="CA94" t="e">
        <f>AND(#REF!,"AAAAAH/l/k4=")</f>
        <v>#REF!</v>
      </c>
      <c r="CB94" t="e">
        <f>AND(#REF!,"AAAAAH/l/k8=")</f>
        <v>#REF!</v>
      </c>
      <c r="CC94" t="e">
        <f>AND(#REF!,"AAAAAH/l/lA=")</f>
        <v>#REF!</v>
      </c>
      <c r="CD94" t="e">
        <f>AND(#REF!,"AAAAAH/l/lE=")</f>
        <v>#REF!</v>
      </c>
      <c r="CE94" t="e">
        <f>AND(#REF!,"AAAAAH/l/lI=")</f>
        <v>#REF!</v>
      </c>
      <c r="CF94" t="e">
        <f>AND(#REF!,"AAAAAH/l/lM=")</f>
        <v>#REF!</v>
      </c>
      <c r="CG94" t="e">
        <f>AND(#REF!,"AAAAAH/l/lQ=")</f>
        <v>#REF!</v>
      </c>
      <c r="CH94" t="e">
        <f>AND(#REF!,"AAAAAH/l/lU=")</f>
        <v>#REF!</v>
      </c>
      <c r="CI94" t="e">
        <f>AND(#REF!,"AAAAAH/l/lY=")</f>
        <v>#REF!</v>
      </c>
      <c r="CJ94" t="e">
        <f>AND(#REF!,"AAAAAH/l/lc=")</f>
        <v>#REF!</v>
      </c>
      <c r="CK94" t="e">
        <f>AND(#REF!,"AAAAAH/l/lg=")</f>
        <v>#REF!</v>
      </c>
      <c r="CL94" t="e">
        <f>AND(#REF!,"AAAAAH/l/lk=")</f>
        <v>#REF!</v>
      </c>
      <c r="CM94" t="e">
        <f>AND(#REF!,"AAAAAH/l/lo=")</f>
        <v>#REF!</v>
      </c>
      <c r="CN94" t="e">
        <f>AND(#REF!,"AAAAAH/l/ls=")</f>
        <v>#REF!</v>
      </c>
      <c r="CO94" t="e">
        <f>IF(#REF!,"AAAAAH/l/lw=",0)</f>
        <v>#REF!</v>
      </c>
      <c r="CP94" t="e">
        <f>AND(#REF!,"AAAAAH/l/l0=")</f>
        <v>#REF!</v>
      </c>
      <c r="CQ94" t="e">
        <f>AND(#REF!,"AAAAAH/l/l4=")</f>
        <v>#REF!</v>
      </c>
      <c r="CR94" t="e">
        <f>AND(#REF!,"AAAAAH/l/l8=")</f>
        <v>#REF!</v>
      </c>
      <c r="CS94" t="e">
        <f>AND(#REF!,"AAAAAH/l/mA=")</f>
        <v>#REF!</v>
      </c>
      <c r="CT94" t="e">
        <f>AND(#REF!,"AAAAAH/l/mE=")</f>
        <v>#REF!</v>
      </c>
      <c r="CU94" t="e">
        <f>AND(#REF!,"AAAAAH/l/mI=")</f>
        <v>#REF!</v>
      </c>
      <c r="CV94" t="e">
        <f>AND(#REF!,"AAAAAH/l/mM=")</f>
        <v>#REF!</v>
      </c>
      <c r="CW94" t="e">
        <f>AND(#REF!,"AAAAAH/l/mQ=")</f>
        <v>#REF!</v>
      </c>
      <c r="CX94" t="e">
        <f>AND(#REF!,"AAAAAH/l/mU=")</f>
        <v>#REF!</v>
      </c>
      <c r="CY94" t="e">
        <f>AND(#REF!,"AAAAAH/l/mY=")</f>
        <v>#REF!</v>
      </c>
      <c r="CZ94" t="e">
        <f>AND(#REF!,"AAAAAH/l/mc=")</f>
        <v>#REF!</v>
      </c>
      <c r="DA94" t="e">
        <f>AND(#REF!,"AAAAAH/l/mg=")</f>
        <v>#REF!</v>
      </c>
      <c r="DB94" t="e">
        <f>AND(#REF!,"AAAAAH/l/mk=")</f>
        <v>#REF!</v>
      </c>
      <c r="DC94" t="e">
        <f>AND(#REF!,"AAAAAH/l/mo=")</f>
        <v>#REF!</v>
      </c>
      <c r="DD94" t="e">
        <f>AND(#REF!,"AAAAAH/l/ms=")</f>
        <v>#REF!</v>
      </c>
      <c r="DE94" t="e">
        <f>IF(#REF!,"AAAAAH/l/mw=",0)</f>
        <v>#REF!</v>
      </c>
      <c r="DF94" t="e">
        <f>AND(#REF!,"AAAAAH/l/m0=")</f>
        <v>#REF!</v>
      </c>
      <c r="DG94" t="e">
        <f>AND(#REF!,"AAAAAH/l/m4=")</f>
        <v>#REF!</v>
      </c>
      <c r="DH94" t="e">
        <f>AND(#REF!,"AAAAAH/l/m8=")</f>
        <v>#REF!</v>
      </c>
      <c r="DI94" t="e">
        <f>AND(#REF!,"AAAAAH/l/nA=")</f>
        <v>#REF!</v>
      </c>
      <c r="DJ94" t="e">
        <f>AND(#REF!,"AAAAAH/l/nE=")</f>
        <v>#REF!</v>
      </c>
      <c r="DK94" t="e">
        <f>AND(#REF!,"AAAAAH/l/nI=")</f>
        <v>#REF!</v>
      </c>
      <c r="DL94" t="e">
        <f>AND(#REF!,"AAAAAH/l/nM=")</f>
        <v>#REF!</v>
      </c>
      <c r="DM94" t="e">
        <f>AND(#REF!,"AAAAAH/l/nQ=")</f>
        <v>#REF!</v>
      </c>
      <c r="DN94" t="e">
        <f>AND(#REF!,"AAAAAH/l/nU=")</f>
        <v>#REF!</v>
      </c>
      <c r="DO94" t="e">
        <f>AND(#REF!,"AAAAAH/l/nY=")</f>
        <v>#REF!</v>
      </c>
      <c r="DP94" t="e">
        <f>AND(#REF!,"AAAAAH/l/nc=")</f>
        <v>#REF!</v>
      </c>
      <c r="DQ94" t="e">
        <f>AND(#REF!,"AAAAAH/l/ng=")</f>
        <v>#REF!</v>
      </c>
      <c r="DR94" t="e">
        <f>AND(#REF!,"AAAAAH/l/nk=")</f>
        <v>#REF!</v>
      </c>
      <c r="DS94" t="e">
        <f>AND(#REF!,"AAAAAH/l/no=")</f>
        <v>#REF!</v>
      </c>
      <c r="DT94" t="e">
        <f>AND(#REF!,"AAAAAH/l/ns=")</f>
        <v>#REF!</v>
      </c>
      <c r="DU94" t="e">
        <f>IF(#REF!,"AAAAAH/l/nw=",0)</f>
        <v>#REF!</v>
      </c>
      <c r="DV94" t="e">
        <f>AND(#REF!,"AAAAAH/l/n0=")</f>
        <v>#REF!</v>
      </c>
      <c r="DW94" t="e">
        <f>AND(#REF!,"AAAAAH/l/n4=")</f>
        <v>#REF!</v>
      </c>
      <c r="DX94" t="e">
        <f>AND(#REF!,"AAAAAH/l/n8=")</f>
        <v>#REF!</v>
      </c>
      <c r="DY94" t="e">
        <f>AND(#REF!,"AAAAAH/l/oA=")</f>
        <v>#REF!</v>
      </c>
      <c r="DZ94" t="e">
        <f>AND(#REF!,"AAAAAH/l/oE=")</f>
        <v>#REF!</v>
      </c>
      <c r="EA94" t="e">
        <f>AND(#REF!,"AAAAAH/l/oI=")</f>
        <v>#REF!</v>
      </c>
      <c r="EB94" t="e">
        <f>AND(#REF!,"AAAAAH/l/oM=")</f>
        <v>#REF!</v>
      </c>
      <c r="EC94" t="e">
        <f>AND(#REF!,"AAAAAH/l/oQ=")</f>
        <v>#REF!</v>
      </c>
      <c r="ED94" t="e">
        <f>AND(#REF!,"AAAAAH/l/oU=")</f>
        <v>#REF!</v>
      </c>
      <c r="EE94" t="e">
        <f>AND(#REF!,"AAAAAH/l/oY=")</f>
        <v>#REF!</v>
      </c>
      <c r="EF94" t="e">
        <f>AND(#REF!,"AAAAAH/l/oc=")</f>
        <v>#REF!</v>
      </c>
      <c r="EG94" t="e">
        <f>AND(#REF!,"AAAAAH/l/og=")</f>
        <v>#REF!</v>
      </c>
      <c r="EH94" t="e">
        <f>AND(#REF!,"AAAAAH/l/ok=")</f>
        <v>#REF!</v>
      </c>
      <c r="EI94" t="e">
        <f>AND(#REF!,"AAAAAH/l/oo=")</f>
        <v>#REF!</v>
      </c>
      <c r="EJ94" t="e">
        <f>AND(#REF!,"AAAAAH/l/os=")</f>
        <v>#REF!</v>
      </c>
      <c r="EK94" t="e">
        <f>IF(#REF!,"AAAAAH/l/ow=",0)</f>
        <v>#REF!</v>
      </c>
      <c r="EL94" t="e">
        <f>AND(#REF!,"AAAAAH/l/o0=")</f>
        <v>#REF!</v>
      </c>
      <c r="EM94" t="e">
        <f>AND(#REF!,"AAAAAH/l/o4=")</f>
        <v>#REF!</v>
      </c>
      <c r="EN94" t="e">
        <f>AND(#REF!,"AAAAAH/l/o8=")</f>
        <v>#REF!</v>
      </c>
      <c r="EO94" t="e">
        <f>AND(#REF!,"AAAAAH/l/pA=")</f>
        <v>#REF!</v>
      </c>
      <c r="EP94" t="e">
        <f>AND(#REF!,"AAAAAH/l/pE=")</f>
        <v>#REF!</v>
      </c>
      <c r="EQ94" t="e">
        <f>AND(#REF!,"AAAAAH/l/pI=")</f>
        <v>#REF!</v>
      </c>
      <c r="ER94" t="e">
        <f>AND(#REF!,"AAAAAH/l/pM=")</f>
        <v>#REF!</v>
      </c>
      <c r="ES94" t="e">
        <f>AND(#REF!,"AAAAAH/l/pQ=")</f>
        <v>#REF!</v>
      </c>
      <c r="ET94" t="e">
        <f>AND(#REF!,"AAAAAH/l/pU=")</f>
        <v>#REF!</v>
      </c>
      <c r="EU94" t="e">
        <f>AND(#REF!,"AAAAAH/l/pY=")</f>
        <v>#REF!</v>
      </c>
      <c r="EV94" t="e">
        <f>AND(#REF!,"AAAAAH/l/pc=")</f>
        <v>#REF!</v>
      </c>
      <c r="EW94" t="e">
        <f>AND(#REF!,"AAAAAH/l/pg=")</f>
        <v>#REF!</v>
      </c>
      <c r="EX94" t="e">
        <f>AND(#REF!,"AAAAAH/l/pk=")</f>
        <v>#REF!</v>
      </c>
      <c r="EY94" t="e">
        <f>AND(#REF!,"AAAAAH/l/po=")</f>
        <v>#REF!</v>
      </c>
      <c r="EZ94" t="e">
        <f>AND(#REF!,"AAAAAH/l/ps=")</f>
        <v>#REF!</v>
      </c>
      <c r="FA94" t="e">
        <f>IF(#REF!,"AAAAAH/l/pw=",0)</f>
        <v>#REF!</v>
      </c>
      <c r="FB94" t="e">
        <f>IF(#REF!,"AAAAAH/l/p0=",0)</f>
        <v>#REF!</v>
      </c>
      <c r="FC94" t="e">
        <f>IF(#REF!,"AAAAAH/l/p4=",0)</f>
        <v>#REF!</v>
      </c>
      <c r="FD94" t="e">
        <f>IF(#REF!,"AAAAAH/l/p8=",0)</f>
        <v>#REF!</v>
      </c>
      <c r="FE94" t="e">
        <f>IF(#REF!,"AAAAAH/l/qA=",0)</f>
        <v>#REF!</v>
      </c>
      <c r="FF94" t="e">
        <f>IF(#REF!,"AAAAAH/l/qE=",0)</f>
        <v>#REF!</v>
      </c>
      <c r="FG94" t="e">
        <f>IF(#REF!,"AAAAAH/l/qI=",0)</f>
        <v>#REF!</v>
      </c>
      <c r="FH94" t="e">
        <f>IF(#REF!,"AAAAAH/l/qM=",0)</f>
        <v>#REF!</v>
      </c>
      <c r="FI94" t="e">
        <f>IF(#REF!,"AAAAAH/l/qQ=",0)</f>
        <v>#REF!</v>
      </c>
      <c r="FJ94" t="e">
        <f>IF(#REF!,"AAAAAH/l/qU=",0)</f>
        <v>#REF!</v>
      </c>
      <c r="FK94" t="e">
        <f>IF(#REF!,"AAAAAH/l/qY=",0)</f>
        <v>#REF!</v>
      </c>
      <c r="FL94" t="e">
        <f>IF(#REF!,"AAAAAH/l/qc=",0)</f>
        <v>#REF!</v>
      </c>
      <c r="FM94" t="e">
        <f>IF(#REF!,"AAAAAH/l/qg=",0)</f>
        <v>#REF!</v>
      </c>
      <c r="FN94" t="e">
        <f>IF(#REF!,"AAAAAH/l/qk=",0)</f>
        <v>#REF!</v>
      </c>
      <c r="FO94" t="e">
        <f>IF(#REF!,"AAAAAH/l/qo=",0)</f>
        <v>#REF!</v>
      </c>
      <c r="FP94" t="e">
        <f>IF(#REF!,"AAAAAH/l/qs=",0)</f>
        <v>#REF!</v>
      </c>
      <c r="FQ94" t="e">
        <f>IF(#REF!,"AAAAAH/l/qw=",0)</f>
        <v>#REF!</v>
      </c>
      <c r="FR94" t="e">
        <f>IF(#REF!,"AAAAAH/l/q0=",0)</f>
        <v>#REF!</v>
      </c>
      <c r="FS94" t="e">
        <f>IF(#REF!,"AAAAAH/l/q4=",0)</f>
        <v>#REF!</v>
      </c>
      <c r="FT94" t="e">
        <f>IF(#REF!,"AAAAAH/l/q8=",0)</f>
        <v>#REF!</v>
      </c>
      <c r="FU94" t="e">
        <f>IF(#REF!,"AAAAAH/l/rA=",0)</f>
        <v>#REF!</v>
      </c>
      <c r="FV94" t="e">
        <f>IF(#REF!,"AAAAAH/l/rE=",0)</f>
        <v>#REF!</v>
      </c>
      <c r="FW94" t="e">
        <f>IF(#REF!,"AAAAAH/l/rI=",0)</f>
        <v>#REF!</v>
      </c>
      <c r="FX94" t="e">
        <f>IF(#REF!,"AAAAAH/l/rM=",0)</f>
        <v>#REF!</v>
      </c>
      <c r="FY94" t="e">
        <f>IF(#REF!,"AAAAAH/l/rQ=",0)</f>
        <v>#REF!</v>
      </c>
      <c r="FZ94" t="e">
        <f>IF(#REF!,"AAAAAH/l/rU=",0)</f>
        <v>#REF!</v>
      </c>
      <c r="GA94" t="e">
        <f>IF(#REF!,"AAAAAH/l/rY=",0)</f>
        <v>#REF!</v>
      </c>
      <c r="GB94" t="e">
        <f>IF(#REF!,"AAAAAH/l/rc=",0)</f>
        <v>#REF!</v>
      </c>
      <c r="GC94" t="e">
        <f>IF(#REF!,"AAAAAH/l/rg=",0)</f>
        <v>#REF!</v>
      </c>
      <c r="GD94" t="e">
        <f>IF(#REF!,"AAAAAH/l/rk=",0)</f>
        <v>#REF!</v>
      </c>
      <c r="GE94" t="e">
        <f>IF(#REF!,"AAAAAH/l/ro=",0)</f>
        <v>#REF!</v>
      </c>
      <c r="GF94" t="e">
        <f>IF(#REF!,"AAAAAH/l/rs=",0)</f>
        <v>#REF!</v>
      </c>
      <c r="GG94" t="e">
        <f>IF(#REF!,"AAAAAH/l/rw=",0)</f>
        <v>#REF!</v>
      </c>
      <c r="GH94" t="e">
        <f>IF(#REF!,"AAAAAH/l/r0=",0)</f>
        <v>#REF!</v>
      </c>
      <c r="GI94" t="e">
        <f>IF(#REF!,"AAAAAH/l/r4=",0)</f>
        <v>#REF!</v>
      </c>
      <c r="GJ94" t="e">
        <f>IF(#REF!,"AAAAAH/l/r8=",0)</f>
        <v>#REF!</v>
      </c>
      <c r="GK94" t="e">
        <f>IF(#REF!,"AAAAAH/l/sA=",0)</f>
        <v>#REF!</v>
      </c>
      <c r="GL94" t="e">
        <f>IF(#REF!,"AAAAAH/l/sE=",0)</f>
        <v>#REF!</v>
      </c>
      <c r="GM94" t="s">
        <v>15</v>
      </c>
      <c r="GN94" t="e">
        <f>IF("N",[0]!what,"AAAAAH/l/sM=")</f>
        <v>#VALUE!</v>
      </c>
      <c r="GO94" t="e">
        <f>IF("N",[0]!what,"AAAAAH/l/sQ=")</f>
        <v>#VALUE!</v>
      </c>
      <c r="GP94" t="e">
        <f>IF("N",'Surface Coating'!efg,"AAAAAH/l/sU=")</f>
        <v>#VALUE!</v>
      </c>
      <c r="GQ94" t="e">
        <f>IF("N",[0]!what,"AAAAAH/l/sY=")</f>
        <v>#VALUE!</v>
      </c>
      <c r="GR94" t="e">
        <f>IF("N",[0]!what,"AAAAAH/l/sc=")</f>
        <v>#VALUE!</v>
      </c>
      <c r="GS94" t="e">
        <f>IF("N",Heater!_xlnm.Print_Area,"AAAAAH/l/sg=")</f>
        <v>#VALUE!</v>
      </c>
      <c r="GT94" t="e">
        <f>IF("N",Inputs!_xlnm.Print_Area,"AAAAAH/l/sk=")</f>
        <v>#VALUE!</v>
      </c>
      <c r="GU94" t="e">
        <f>IF("N",[0]!what,"AAAAAH/l/so=")</f>
        <v>#VALUE!</v>
      </c>
      <c r="GV94" t="e">
        <f>IF("N",[0]!what,"AAAAAH/l/ss=")</f>
        <v>#VALUE!</v>
      </c>
      <c r="GW94" t="e">
        <f>IF("N",[0]!what,"AAAAAH/l/sw=")</f>
        <v>#VALUE!</v>
      </c>
      <c r="GX94" t="e">
        <f>IF("N",[0]!what,"AAAAAH/l/s0=")</f>
        <v>#VALUE!</v>
      </c>
      <c r="GY94" t="e">
        <f>IF("N",[0]!what,"AAAAAH/l/s4=")</f>
        <v>#VALUE!</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8"/>
    <pageSetUpPr fitToPage="1"/>
  </sheetPr>
  <dimension ref="A1:R57"/>
  <sheetViews>
    <sheetView zoomScaleNormal="100" workbookViewId="0">
      <selection activeCell="A3" sqref="A3"/>
    </sheetView>
  </sheetViews>
  <sheetFormatPr defaultRowHeight="12.75"/>
  <cols>
    <col min="1" max="1" width="14.5703125" customWidth="1"/>
    <col min="2" max="2" width="14.28515625" customWidth="1"/>
  </cols>
  <sheetData>
    <row r="1" spans="1:18" ht="20.25">
      <c r="A1" s="161" t="s">
        <v>123</v>
      </c>
      <c r="B1" s="164"/>
      <c r="C1" s="164"/>
      <c r="D1" s="164"/>
      <c r="E1" s="164"/>
      <c r="F1" s="164"/>
      <c r="G1" s="164"/>
      <c r="H1" s="164"/>
      <c r="I1" s="164"/>
      <c r="J1" s="164"/>
      <c r="K1" s="164"/>
      <c r="L1" s="164"/>
      <c r="M1" s="164"/>
      <c r="N1" s="164"/>
      <c r="O1" s="164"/>
      <c r="P1" s="164"/>
      <c r="Q1" s="164"/>
      <c r="R1" s="164"/>
    </row>
    <row r="2" spans="1:18">
      <c r="A2" s="162">
        <v>42086</v>
      </c>
      <c r="B2" s="162"/>
      <c r="C2" s="162"/>
      <c r="D2" s="162"/>
      <c r="E2" s="162"/>
      <c r="F2" s="162"/>
      <c r="G2" s="162"/>
      <c r="H2" s="162"/>
      <c r="I2" s="162"/>
      <c r="J2" s="162"/>
      <c r="K2" s="162"/>
      <c r="L2" s="162"/>
      <c r="M2" s="162"/>
      <c r="N2" s="164"/>
      <c r="O2" s="164"/>
      <c r="P2" s="164"/>
      <c r="Q2" s="164"/>
      <c r="R2" s="164"/>
    </row>
    <row r="4" spans="1:18" ht="15.75">
      <c r="B4" s="31" t="s">
        <v>65</v>
      </c>
    </row>
    <row r="5" spans="1:18">
      <c r="B5" s="25">
        <f>Inputs!D47</f>
        <v>10</v>
      </c>
      <c r="C5" s="4" t="s">
        <v>18</v>
      </c>
      <c r="I5" s="6" t="s">
        <v>7</v>
      </c>
    </row>
    <row r="6" spans="1:18">
      <c r="I6" s="2" t="s">
        <v>6</v>
      </c>
    </row>
    <row r="7" spans="1:18" s="33" customFormat="1" ht="12.75" customHeight="1" thickBot="1">
      <c r="B7" s="53"/>
      <c r="C7" s="53"/>
      <c r="D7" s="53"/>
      <c r="E7" s="53"/>
      <c r="F7" s="53"/>
      <c r="G7" s="53"/>
      <c r="H7" s="53" t="s">
        <v>24</v>
      </c>
      <c r="I7" s="53"/>
      <c r="J7" s="53"/>
      <c r="K7" s="49"/>
      <c r="L7" s="49"/>
      <c r="M7" s="49"/>
      <c r="N7" s="49"/>
    </row>
    <row r="8" spans="1:18" s="33" customFormat="1" ht="16.5" thickTop="1">
      <c r="A8" s="49"/>
      <c r="B8" s="56" t="s">
        <v>43</v>
      </c>
      <c r="C8" s="56"/>
      <c r="D8" s="21"/>
      <c r="E8" s="77" t="s">
        <v>0</v>
      </c>
      <c r="F8" s="78" t="s">
        <v>20</v>
      </c>
      <c r="G8" s="78" t="s">
        <v>19</v>
      </c>
      <c r="H8" s="78" t="s">
        <v>21</v>
      </c>
      <c r="I8" s="78" t="s">
        <v>22</v>
      </c>
      <c r="J8" s="78" t="s">
        <v>1</v>
      </c>
      <c r="K8" s="79" t="s">
        <v>4</v>
      </c>
      <c r="L8" s="49"/>
      <c r="M8" s="49"/>
      <c r="N8" s="49"/>
      <c r="O8" s="49"/>
    </row>
    <row r="9" spans="1:18" s="33" customFormat="1" ht="15" customHeight="1" thickBot="1">
      <c r="A9" s="49"/>
      <c r="B9" s="21" t="s">
        <v>24</v>
      </c>
      <c r="C9" s="21"/>
      <c r="D9" s="21"/>
      <c r="E9" s="83">
        <f t="shared" ref="E9:J9" si="0">MAX(E17,E33,E49)</f>
        <v>9.5737704918032795E-2</v>
      </c>
      <c r="F9" s="84">
        <f t="shared" si="0"/>
        <v>0.34352941176470586</v>
      </c>
      <c r="G9" s="84">
        <f t="shared" si="0"/>
        <v>0.34352941176470586</v>
      </c>
      <c r="H9" s="84">
        <f t="shared" si="0"/>
        <v>0.71803278688524586</v>
      </c>
      <c r="I9" s="84">
        <f t="shared" si="0"/>
        <v>6.4411764705882355</v>
      </c>
      <c r="J9" s="84">
        <f t="shared" si="0"/>
        <v>3.6070588235294121</v>
      </c>
      <c r="K9" s="85">
        <f>MAX(K17,K33,K49)</f>
        <v>0.47868852459016392</v>
      </c>
      <c r="L9" s="49"/>
      <c r="M9" s="49"/>
      <c r="N9" s="49"/>
      <c r="O9" s="49"/>
    </row>
    <row r="10" spans="1:18" ht="14.25" thickTop="1" thickBot="1"/>
    <row r="11" spans="1:18" ht="13.5" thickTop="1">
      <c r="A11" s="5"/>
      <c r="B11" s="5"/>
      <c r="C11" s="5"/>
      <c r="D11" s="5"/>
      <c r="E11" s="5"/>
      <c r="F11" s="5"/>
      <c r="G11" s="5"/>
      <c r="H11" s="5"/>
      <c r="I11" s="5"/>
      <c r="J11" s="5"/>
      <c r="K11" s="5"/>
      <c r="L11" s="5"/>
    </row>
    <row r="12" spans="1:18" ht="13.5" thickBot="1">
      <c r="A12" s="1" t="s">
        <v>31</v>
      </c>
      <c r="B12" s="1" t="s">
        <v>5</v>
      </c>
      <c r="D12" s="51" t="s">
        <v>32</v>
      </c>
      <c r="E12" s="25" t="str">
        <f>Inputs!D49</f>
        <v>Y</v>
      </c>
    </row>
    <row r="13" spans="1:18" s="33" customFormat="1" ht="12.75" customHeight="1" thickTop="1">
      <c r="B13" s="62"/>
      <c r="C13" s="63"/>
      <c r="D13" s="63"/>
      <c r="E13" s="64"/>
      <c r="F13" s="63"/>
      <c r="G13" s="63"/>
      <c r="H13" s="63" t="s">
        <v>2</v>
      </c>
      <c r="I13" s="63"/>
      <c r="J13" s="63"/>
      <c r="K13" s="67"/>
      <c r="L13" s="49"/>
      <c r="M13" s="49"/>
      <c r="N13" s="49"/>
    </row>
    <row r="14" spans="1:18" s="33" customFormat="1" ht="15.75">
      <c r="A14" s="49"/>
      <c r="B14" s="26"/>
      <c r="C14" s="21"/>
      <c r="D14" s="21"/>
      <c r="E14" s="68" t="s">
        <v>0</v>
      </c>
      <c r="F14" s="57" t="s">
        <v>27</v>
      </c>
      <c r="G14" s="57" t="s">
        <v>38</v>
      </c>
      <c r="H14" s="57" t="s">
        <v>21</v>
      </c>
      <c r="I14" s="57" t="s">
        <v>22</v>
      </c>
      <c r="J14" s="57" t="s">
        <v>1</v>
      </c>
      <c r="K14" s="69" t="s">
        <v>4</v>
      </c>
      <c r="L14" s="49"/>
      <c r="M14" s="49"/>
      <c r="N14" s="49"/>
      <c r="O14" s="49"/>
    </row>
    <row r="15" spans="1:18" s="33" customFormat="1" ht="15" customHeight="1" thickBot="1">
      <c r="A15" s="49"/>
      <c r="B15" s="70" t="s">
        <v>39</v>
      </c>
      <c r="C15" s="71"/>
      <c r="D15" s="71"/>
      <c r="E15" s="72">
        <v>1.9</v>
      </c>
      <c r="F15" s="73">
        <v>7.6</v>
      </c>
      <c r="G15" s="73">
        <v>7.6</v>
      </c>
      <c r="H15" s="74">
        <v>0.6</v>
      </c>
      <c r="I15" s="34">
        <v>100</v>
      </c>
      <c r="J15" s="74">
        <v>84</v>
      </c>
      <c r="K15" s="75">
        <v>5.5</v>
      </c>
      <c r="L15" s="49"/>
      <c r="M15" s="49"/>
      <c r="N15" s="49"/>
      <c r="O15" s="49"/>
    </row>
    <row r="16" spans="1:18" s="33" customFormat="1">
      <c r="A16" s="49"/>
      <c r="B16" s="26"/>
      <c r="C16" s="21"/>
      <c r="D16" s="21"/>
      <c r="E16" s="65"/>
      <c r="F16" s="55"/>
      <c r="G16" s="55"/>
      <c r="H16" s="54"/>
      <c r="I16" s="54"/>
      <c r="J16" s="54"/>
      <c r="K16" s="58"/>
      <c r="L16" s="49"/>
      <c r="M16" s="49"/>
      <c r="N16" s="49"/>
      <c r="O16" s="49"/>
    </row>
    <row r="17" spans="1:15" s="32" customFormat="1">
      <c r="A17" s="50"/>
      <c r="B17" s="26" t="s">
        <v>33</v>
      </c>
      <c r="C17" s="56"/>
      <c r="D17" s="56"/>
      <c r="E17" s="80">
        <f>IF($E$12="Y",$B$5/1020*E15*8760/2000,0)</f>
        <v>8.1588235294117656E-2</v>
      </c>
      <c r="F17" s="81">
        <f t="shared" ref="F17:K17" si="1">IF($E$12="Y",$B$5/1020*F15*8760/2000,0)</f>
        <v>0.32635294117647062</v>
      </c>
      <c r="G17" s="81">
        <f t="shared" si="1"/>
        <v>0.32635294117647062</v>
      </c>
      <c r="H17" s="81">
        <f>IF($E$12="Y",$B$5/1020*H15*8760/2000,0)</f>
        <v>2.5764705882352943E-2</v>
      </c>
      <c r="I17" s="81">
        <f t="shared" si="1"/>
        <v>4.2941176470588234</v>
      </c>
      <c r="J17" s="81">
        <f t="shared" si="1"/>
        <v>3.6070588235294117</v>
      </c>
      <c r="K17" s="82">
        <f t="shared" si="1"/>
        <v>0.23617647058823529</v>
      </c>
      <c r="L17" s="50"/>
      <c r="M17" s="50"/>
      <c r="N17" s="50"/>
      <c r="O17" s="50"/>
    </row>
    <row r="18" spans="1:15" s="33" customFormat="1" ht="13.5" thickBot="1">
      <c r="A18" s="49"/>
      <c r="B18" s="35"/>
      <c r="C18" s="47"/>
      <c r="D18" s="47"/>
      <c r="E18" s="66"/>
      <c r="F18" s="59"/>
      <c r="G18" s="59"/>
      <c r="H18" s="60" t="s">
        <v>24</v>
      </c>
      <c r="I18" s="60"/>
      <c r="J18" s="60"/>
      <c r="K18" s="61"/>
      <c r="L18" s="49"/>
      <c r="M18" s="49"/>
      <c r="N18" s="49"/>
      <c r="O18" s="49"/>
    </row>
    <row r="19" spans="1:15" s="33" customFormat="1" thickTop="1">
      <c r="B19" s="50" t="s">
        <v>26</v>
      </c>
      <c r="C19" s="49"/>
      <c r="D19" s="49"/>
      <c r="E19" s="52"/>
      <c r="F19" s="53"/>
      <c r="G19" s="53"/>
      <c r="H19" s="53"/>
      <c r="I19" s="53"/>
      <c r="J19" s="53"/>
      <c r="K19" s="53"/>
      <c r="L19" s="49"/>
      <c r="M19" s="49"/>
      <c r="N19" s="49"/>
      <c r="O19" s="49"/>
    </row>
    <row r="20" spans="1:15" s="33" customFormat="1" ht="12">
      <c r="B20" s="49" t="s">
        <v>34</v>
      </c>
      <c r="C20" s="49"/>
      <c r="D20" s="49"/>
      <c r="E20" s="52"/>
      <c r="F20" s="53"/>
      <c r="G20" s="53"/>
      <c r="H20" s="53"/>
      <c r="I20" s="53"/>
      <c r="J20" s="53"/>
      <c r="K20" s="53"/>
      <c r="L20" s="49"/>
      <c r="M20" s="49"/>
      <c r="N20" s="49"/>
      <c r="O20" s="49"/>
    </row>
    <row r="21" spans="1:15" s="33" customFormat="1" ht="13.5">
      <c r="B21" s="33" t="s">
        <v>35</v>
      </c>
      <c r="K21" s="49"/>
      <c r="L21" s="49"/>
      <c r="M21" s="49"/>
      <c r="N21" s="49"/>
    </row>
    <row r="22" spans="1:15" s="33" customFormat="1" ht="13.5">
      <c r="B22" s="33" t="s">
        <v>36</v>
      </c>
    </row>
    <row r="23" spans="1:15" s="33" customFormat="1" ht="12"/>
    <row r="24" spans="1:15" s="33" customFormat="1" ht="12">
      <c r="B24" s="32" t="s">
        <v>25</v>
      </c>
    </row>
    <row r="25" spans="1:15" s="33" customFormat="1" ht="12">
      <c r="B25" s="33" t="s">
        <v>37</v>
      </c>
    </row>
    <row r="26" spans="1:15" s="33" customFormat="1" ht="12"/>
    <row r="28" spans="1:15" ht="15" thickBot="1">
      <c r="A28" s="1" t="s">
        <v>31</v>
      </c>
      <c r="B28" s="1" t="s">
        <v>40</v>
      </c>
      <c r="D28" s="51" t="s">
        <v>32</v>
      </c>
      <c r="E28" s="25" t="str">
        <f>Inputs!D50</f>
        <v>Y</v>
      </c>
      <c r="G28" s="4" t="s">
        <v>41</v>
      </c>
      <c r="I28" s="76">
        <f>Inputs!F50</f>
        <v>15</v>
      </c>
      <c r="J28" s="132" t="s">
        <v>71</v>
      </c>
    </row>
    <row r="29" spans="1:15" s="33" customFormat="1" ht="12.75" customHeight="1" thickTop="1">
      <c r="B29" s="62"/>
      <c r="C29" s="63"/>
      <c r="D29" s="63"/>
      <c r="E29" s="64"/>
      <c r="F29" s="63"/>
      <c r="G29" s="63"/>
      <c r="H29" s="63" t="s">
        <v>2</v>
      </c>
      <c r="I29" s="63"/>
      <c r="J29" s="63"/>
      <c r="K29" s="67"/>
      <c r="L29" s="49"/>
      <c r="M29" s="49"/>
      <c r="N29" s="49"/>
    </row>
    <row r="30" spans="1:15" s="33" customFormat="1" ht="15.75">
      <c r="A30" s="49"/>
      <c r="B30" s="26"/>
      <c r="C30" s="21"/>
      <c r="D30" s="21"/>
      <c r="E30" s="68" t="s">
        <v>0</v>
      </c>
      <c r="F30" s="57" t="s">
        <v>27</v>
      </c>
      <c r="G30" s="57" t="s">
        <v>38</v>
      </c>
      <c r="H30" s="57" t="s">
        <v>21</v>
      </c>
      <c r="I30" s="57" t="s">
        <v>22</v>
      </c>
      <c r="J30" s="57" t="s">
        <v>1</v>
      </c>
      <c r="K30" s="69" t="s">
        <v>4</v>
      </c>
      <c r="L30" s="49"/>
      <c r="M30" s="49"/>
      <c r="N30" s="49"/>
      <c r="O30" s="49"/>
    </row>
    <row r="31" spans="1:15" s="33" customFormat="1" ht="15" customHeight="1" thickBot="1">
      <c r="A31" s="49"/>
      <c r="B31" s="70" t="s">
        <v>44</v>
      </c>
      <c r="C31" s="71"/>
      <c r="D31" s="71"/>
      <c r="E31" s="72">
        <v>0.2</v>
      </c>
      <c r="F31" s="73">
        <v>0.7</v>
      </c>
      <c r="G31" s="73">
        <v>0.7</v>
      </c>
      <c r="H31" s="74">
        <f>0.1*I28</f>
        <v>1.5</v>
      </c>
      <c r="I31" s="34">
        <v>13</v>
      </c>
      <c r="J31" s="74">
        <v>7.5</v>
      </c>
      <c r="K31" s="75">
        <v>1</v>
      </c>
      <c r="L31" s="49"/>
      <c r="M31" s="49"/>
      <c r="N31" s="49"/>
      <c r="O31" s="49"/>
    </row>
    <row r="32" spans="1:15" s="33" customFormat="1">
      <c r="A32" s="49"/>
      <c r="B32" s="26"/>
      <c r="C32" s="21"/>
      <c r="D32" s="21"/>
      <c r="E32" s="65"/>
      <c r="F32" s="55"/>
      <c r="G32" s="55"/>
      <c r="H32" s="54"/>
      <c r="I32" s="54"/>
      <c r="J32" s="54"/>
      <c r="K32" s="58"/>
      <c r="L32" s="49"/>
      <c r="M32" s="49"/>
      <c r="N32" s="49"/>
      <c r="O32" s="49"/>
    </row>
    <row r="33" spans="1:15" s="32" customFormat="1">
      <c r="A33" s="50"/>
      <c r="B33" s="26" t="s">
        <v>33</v>
      </c>
      <c r="C33" s="56"/>
      <c r="D33" s="56"/>
      <c r="E33" s="80">
        <f>IF($E$28="Y",$B$5/91.5*E31*8760/2000,0)</f>
        <v>9.5737704918032795E-2</v>
      </c>
      <c r="F33" s="81">
        <f t="shared" ref="F33:K33" si="2">IF($E$28="Y",$B$5/91.5*F31*8760/2000,0)</f>
        <v>0.33508196721311467</v>
      </c>
      <c r="G33" s="81">
        <f t="shared" si="2"/>
        <v>0.33508196721311467</v>
      </c>
      <c r="H33" s="81">
        <f t="shared" si="2"/>
        <v>0.71803278688524586</v>
      </c>
      <c r="I33" s="81">
        <f t="shared" si="2"/>
        <v>6.222950819672131</v>
      </c>
      <c r="J33" s="81">
        <f t="shared" si="2"/>
        <v>3.5901639344262293</v>
      </c>
      <c r="K33" s="82">
        <f t="shared" si="2"/>
        <v>0.47868852459016392</v>
      </c>
      <c r="L33" s="50"/>
      <c r="M33" s="50"/>
      <c r="N33" s="50"/>
      <c r="O33" s="50"/>
    </row>
    <row r="34" spans="1:15" s="33" customFormat="1" ht="13.5" thickBot="1">
      <c r="A34" s="49"/>
      <c r="B34" s="35"/>
      <c r="C34" s="47"/>
      <c r="D34" s="47"/>
      <c r="E34" s="66"/>
      <c r="F34" s="59"/>
      <c r="G34" s="59"/>
      <c r="H34" s="60" t="s">
        <v>24</v>
      </c>
      <c r="I34" s="60"/>
      <c r="J34" s="60"/>
      <c r="K34" s="61"/>
      <c r="L34" s="49"/>
      <c r="M34" s="49"/>
      <c r="N34" s="49"/>
      <c r="O34" s="49"/>
    </row>
    <row r="35" spans="1:15" s="33" customFormat="1" thickTop="1">
      <c r="B35" s="50" t="s">
        <v>26</v>
      </c>
      <c r="C35" s="49"/>
      <c r="D35" s="49"/>
      <c r="E35" s="52"/>
      <c r="F35" s="53"/>
      <c r="G35" s="53"/>
      <c r="H35" s="53"/>
      <c r="I35" s="53"/>
      <c r="J35" s="53"/>
      <c r="K35" s="53"/>
      <c r="L35" s="49"/>
      <c r="M35" s="49"/>
      <c r="N35" s="49"/>
      <c r="O35" s="49"/>
    </row>
    <row r="36" spans="1:15" s="33" customFormat="1" ht="12">
      <c r="B36" s="49" t="s">
        <v>72</v>
      </c>
      <c r="C36" s="49"/>
      <c r="D36" s="49"/>
      <c r="E36" s="52"/>
      <c r="F36" s="53"/>
      <c r="G36" s="53"/>
      <c r="H36" s="53"/>
      <c r="I36" s="53"/>
      <c r="J36" s="53"/>
      <c r="K36" s="53"/>
      <c r="L36" s="49"/>
      <c r="M36" s="49"/>
      <c r="N36" s="49"/>
      <c r="O36" s="49"/>
    </row>
    <row r="37" spans="1:15" s="33" customFormat="1" ht="13.5">
      <c r="B37" s="33" t="s">
        <v>35</v>
      </c>
    </row>
    <row r="38" spans="1:15" s="33" customFormat="1" ht="13.5">
      <c r="B38" s="33" t="s">
        <v>36</v>
      </c>
    </row>
    <row r="39" spans="1:15" s="33" customFormat="1" ht="12"/>
    <row r="40" spans="1:15" s="33" customFormat="1" ht="12">
      <c r="B40" s="32" t="s">
        <v>25</v>
      </c>
    </row>
    <row r="41" spans="1:15" s="33" customFormat="1" ht="12">
      <c r="B41" s="33" t="s">
        <v>42</v>
      </c>
    </row>
    <row r="44" spans="1:15" ht="15" thickBot="1">
      <c r="A44" s="1" t="s">
        <v>31</v>
      </c>
      <c r="B44" s="1" t="s">
        <v>51</v>
      </c>
      <c r="D44" s="51" t="s">
        <v>32</v>
      </c>
      <c r="E44" s="25" t="str">
        <f>Inputs!D51</f>
        <v>Y</v>
      </c>
      <c r="G44" s="4" t="s">
        <v>41</v>
      </c>
      <c r="I44" s="76">
        <v>15</v>
      </c>
      <c r="J44" s="132" t="s">
        <v>71</v>
      </c>
    </row>
    <row r="45" spans="1:15" s="33" customFormat="1" ht="12.75" customHeight="1" thickTop="1">
      <c r="B45" s="62"/>
      <c r="C45" s="63"/>
      <c r="D45" s="63"/>
      <c r="E45" s="64"/>
      <c r="F45" s="63"/>
      <c r="G45" s="63"/>
      <c r="H45" s="63" t="s">
        <v>2</v>
      </c>
      <c r="I45" s="63"/>
      <c r="J45" s="63"/>
      <c r="K45" s="67"/>
      <c r="L45" s="49"/>
      <c r="M45" s="49"/>
      <c r="N45" s="49"/>
    </row>
    <row r="46" spans="1:15" s="33" customFormat="1" ht="15.75">
      <c r="A46" s="49"/>
      <c r="B46" s="26"/>
      <c r="C46" s="21"/>
      <c r="D46" s="21"/>
      <c r="E46" s="68" t="s">
        <v>0</v>
      </c>
      <c r="F46" s="57" t="s">
        <v>27</v>
      </c>
      <c r="G46" s="57" t="s">
        <v>38</v>
      </c>
      <c r="H46" s="57" t="s">
        <v>21</v>
      </c>
      <c r="I46" s="57" t="s">
        <v>22</v>
      </c>
      <c r="J46" s="57" t="s">
        <v>1</v>
      </c>
      <c r="K46" s="69" t="s">
        <v>4</v>
      </c>
      <c r="L46" s="49"/>
      <c r="M46" s="49"/>
      <c r="N46" s="49"/>
      <c r="O46" s="49"/>
    </row>
    <row r="47" spans="1:15" s="33" customFormat="1" ht="15" customHeight="1" thickBot="1">
      <c r="A47" s="49"/>
      <c r="B47" s="70" t="s">
        <v>45</v>
      </c>
      <c r="C47" s="71"/>
      <c r="D47" s="71"/>
      <c r="E47" s="72">
        <v>0.2</v>
      </c>
      <c r="F47" s="73">
        <v>0.8</v>
      </c>
      <c r="G47" s="73">
        <v>0.8</v>
      </c>
      <c r="H47" s="74">
        <f>0.09*I44</f>
        <v>1.3499999999999999</v>
      </c>
      <c r="I47" s="34">
        <v>15</v>
      </c>
      <c r="J47" s="74">
        <v>8.4</v>
      </c>
      <c r="K47" s="75">
        <v>1.1000000000000001</v>
      </c>
      <c r="L47" s="49"/>
      <c r="M47" s="49"/>
      <c r="N47" s="49"/>
      <c r="O47" s="49"/>
    </row>
    <row r="48" spans="1:15" s="33" customFormat="1">
      <c r="A48" s="49"/>
      <c r="B48" s="26"/>
      <c r="C48" s="21"/>
      <c r="D48" s="21"/>
      <c r="E48" s="65"/>
      <c r="F48" s="55"/>
      <c r="G48" s="55"/>
      <c r="H48" s="54"/>
      <c r="I48" s="54"/>
      <c r="J48" s="54"/>
      <c r="K48" s="58"/>
      <c r="L48" s="49"/>
      <c r="M48" s="49"/>
      <c r="N48" s="49"/>
      <c r="O48" s="49"/>
    </row>
    <row r="49" spans="1:15" s="32" customFormat="1">
      <c r="A49" s="50"/>
      <c r="B49" s="26" t="s">
        <v>33</v>
      </c>
      <c r="C49" s="56"/>
      <c r="D49" s="56"/>
      <c r="E49" s="80">
        <f>IF($E$44="Y",$B$5/102*E47*8760/2000,0)</f>
        <v>8.5882352941176465E-2</v>
      </c>
      <c r="F49" s="81">
        <f t="shared" ref="F49:K49" si="3">IF($E$44="Y",$B$5/102*F47*8760/2000,0)</f>
        <v>0.34352941176470586</v>
      </c>
      <c r="G49" s="81">
        <f t="shared" si="3"/>
        <v>0.34352941176470586</v>
      </c>
      <c r="H49" s="81">
        <f t="shared" si="3"/>
        <v>0.57970588235294107</v>
      </c>
      <c r="I49" s="81">
        <f t="shared" si="3"/>
        <v>6.4411764705882355</v>
      </c>
      <c r="J49" s="81">
        <f t="shared" si="3"/>
        <v>3.6070588235294121</v>
      </c>
      <c r="K49" s="82">
        <f t="shared" si="3"/>
        <v>0.47235294117647059</v>
      </c>
      <c r="L49" s="50"/>
      <c r="M49" s="50"/>
      <c r="N49" s="50"/>
      <c r="O49" s="50"/>
    </row>
    <row r="50" spans="1:15" s="33" customFormat="1" ht="13.5" thickBot="1">
      <c r="A50" s="49"/>
      <c r="B50" s="35"/>
      <c r="C50" s="47"/>
      <c r="D50" s="47"/>
      <c r="E50" s="66"/>
      <c r="F50" s="59"/>
      <c r="G50" s="59"/>
      <c r="H50" s="60" t="s">
        <v>24</v>
      </c>
      <c r="I50" s="60"/>
      <c r="J50" s="60"/>
      <c r="K50" s="61"/>
      <c r="L50" s="49"/>
      <c r="M50" s="49"/>
      <c r="N50" s="49"/>
      <c r="O50" s="49"/>
    </row>
    <row r="51" spans="1:15" s="33" customFormat="1" thickTop="1">
      <c r="B51" s="50" t="s">
        <v>26</v>
      </c>
      <c r="C51" s="49"/>
      <c r="D51" s="49"/>
      <c r="E51" s="52"/>
      <c r="F51" s="53"/>
      <c r="G51" s="53"/>
      <c r="H51" s="53"/>
      <c r="I51" s="53"/>
      <c r="J51" s="53"/>
      <c r="K51" s="53"/>
      <c r="L51" s="49"/>
      <c r="M51" s="49"/>
      <c r="N51" s="49"/>
      <c r="O51" s="49"/>
    </row>
    <row r="52" spans="1:15" s="33" customFormat="1" ht="12">
      <c r="B52" s="49" t="s">
        <v>72</v>
      </c>
      <c r="C52" s="49"/>
      <c r="D52" s="49"/>
      <c r="E52" s="52"/>
      <c r="F52" s="53"/>
      <c r="G52" s="53"/>
      <c r="H52" s="53"/>
      <c r="I52" s="53"/>
      <c r="J52" s="53"/>
      <c r="K52" s="53"/>
      <c r="L52" s="49"/>
      <c r="M52" s="49"/>
      <c r="N52" s="49"/>
      <c r="O52" s="49"/>
    </row>
    <row r="53" spans="1:15" s="33" customFormat="1" ht="13.5">
      <c r="B53" s="33" t="s">
        <v>35</v>
      </c>
      <c r="K53" s="49"/>
      <c r="L53" s="49"/>
      <c r="M53" s="49"/>
      <c r="N53" s="49"/>
    </row>
    <row r="54" spans="1:15" s="33" customFormat="1" ht="13.5">
      <c r="B54" s="33" t="s">
        <v>36</v>
      </c>
    </row>
    <row r="55" spans="1:15" s="33" customFormat="1" ht="12"/>
    <row r="56" spans="1:15" s="33" customFormat="1" ht="12">
      <c r="B56" s="32" t="s">
        <v>25</v>
      </c>
    </row>
    <row r="57" spans="1:15">
      <c r="B57" s="33" t="s">
        <v>52</v>
      </c>
    </row>
  </sheetData>
  <mergeCells count="2">
    <mergeCell ref="A1:R1"/>
    <mergeCell ref="A2:R2"/>
  </mergeCells>
  <phoneticPr fontId="3" type="noConversion"/>
  <pageMargins left="0.75" right="0.75" top="1" bottom="1" header="0.5" footer="0.5"/>
  <pageSetup scale="70" orientation="portrait" r:id="rId1"/>
  <headerFooter alignWithMargins="0">
    <oddFooter>Page &amp;P of &amp;N</oddFooter>
  </headerFooter>
  <colBreaks count="1" manualBreakCount="1">
    <brk id="13" max="1048575" man="1"/>
  </colBreaks>
  <customProperties>
    <customPr name="DVSECTION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R11"/>
  <sheetViews>
    <sheetView workbookViewId="0">
      <selection activeCell="A3" sqref="A3"/>
    </sheetView>
  </sheetViews>
  <sheetFormatPr defaultRowHeight="12.75"/>
  <cols>
    <col min="2" max="2" width="14.5703125" customWidth="1"/>
  </cols>
  <sheetData>
    <row r="1" spans="1:18" ht="20.25">
      <c r="A1" s="161" t="s">
        <v>123</v>
      </c>
      <c r="B1" s="164"/>
      <c r="C1" s="164"/>
      <c r="D1" s="164"/>
      <c r="E1" s="164"/>
      <c r="F1" s="164"/>
      <c r="G1" s="164"/>
      <c r="H1" s="164"/>
      <c r="I1" s="164"/>
      <c r="J1" s="164"/>
      <c r="K1" s="164"/>
      <c r="L1" s="164"/>
      <c r="M1" s="164"/>
      <c r="N1" s="164"/>
      <c r="O1" s="164"/>
      <c r="P1" s="164"/>
      <c r="Q1" s="164"/>
      <c r="R1" s="164"/>
    </row>
    <row r="2" spans="1:18">
      <c r="A2" s="162">
        <v>42086</v>
      </c>
      <c r="B2" s="162"/>
      <c r="C2" s="162"/>
      <c r="D2" s="162"/>
      <c r="E2" s="162"/>
      <c r="F2" s="162"/>
      <c r="G2" s="162"/>
      <c r="H2" s="162"/>
      <c r="I2" s="162"/>
      <c r="J2" s="162"/>
      <c r="K2" s="162"/>
      <c r="L2" s="162"/>
      <c r="M2" s="162"/>
      <c r="N2" s="164"/>
      <c r="O2" s="164"/>
      <c r="P2" s="164"/>
      <c r="Q2" s="164"/>
      <c r="R2" s="164"/>
    </row>
    <row r="3" spans="1:18">
      <c r="C3" t="s">
        <v>110</v>
      </c>
    </row>
    <row r="4" spans="1:18">
      <c r="B4" t="s">
        <v>49</v>
      </c>
      <c r="C4" s="152">
        <f>Inputs!D44</f>
        <v>11</v>
      </c>
      <c r="D4" t="s">
        <v>115</v>
      </c>
      <c r="J4" s="6" t="s">
        <v>7</v>
      </c>
    </row>
    <row r="5" spans="1:18">
      <c r="B5" t="s">
        <v>119</v>
      </c>
      <c r="C5" s="157">
        <f>Inputs!D45</f>
        <v>500</v>
      </c>
      <c r="D5" t="s">
        <v>117</v>
      </c>
      <c r="J5" s="2" t="s">
        <v>6</v>
      </c>
    </row>
    <row r="6" spans="1:18" ht="13.5" thickBot="1"/>
    <row r="7" spans="1:18" ht="16.5" thickTop="1">
      <c r="C7" s="56" t="s">
        <v>43</v>
      </c>
      <c r="D7" s="56"/>
      <c r="E7" s="21"/>
      <c r="F7" s="77" t="s">
        <v>0</v>
      </c>
      <c r="G7" s="78" t="s">
        <v>20</v>
      </c>
      <c r="H7" s="78" t="s">
        <v>19</v>
      </c>
      <c r="I7" s="78" t="s">
        <v>21</v>
      </c>
      <c r="J7" s="78" t="s">
        <v>22</v>
      </c>
      <c r="K7" s="78" t="s">
        <v>1</v>
      </c>
      <c r="L7" s="79" t="s">
        <v>4</v>
      </c>
    </row>
    <row r="8" spans="1:18" ht="13.5" thickBot="1">
      <c r="C8" s="21" t="s">
        <v>24</v>
      </c>
      <c r="D8" s="21"/>
      <c r="E8" s="21"/>
      <c r="F8" s="83">
        <f>0</f>
        <v>0</v>
      </c>
      <c r="G8" s="84">
        <v>0</v>
      </c>
      <c r="H8" s="84">
        <v>0</v>
      </c>
      <c r="I8" s="84">
        <v>0</v>
      </c>
      <c r="J8" s="84">
        <v>0</v>
      </c>
      <c r="K8" s="84">
        <v>0</v>
      </c>
      <c r="L8" s="85">
        <f>C4*C5/2000</f>
        <v>2.75</v>
      </c>
    </row>
    <row r="9" spans="1:18" ht="13.5" thickTop="1"/>
    <row r="11" spans="1:18">
      <c r="C11" s="95" t="s">
        <v>120</v>
      </c>
    </row>
  </sheetData>
  <mergeCells count="2">
    <mergeCell ref="A1:R1"/>
    <mergeCell ref="A2:R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Record xmlns="4ffa91fb-a0ff-4ac5-b2db-65c790d184a4">Shared</Record>
    <EPA_x0020_Office xmlns="4ffa91fb-a0ff-4ac5-b2db-65c790d184a4" xsi:nil="true"/>
    <Language xmlns="http://schemas.microsoft.com/sharepoint/v3">English</Language>
    <Document_x0020_Creation_x0020_Date xmlns="4ffa91fb-a0ff-4ac5-b2db-65c790d184a4">2014-11-20T18:43:33+00:00</Document_x0020_Creation_x0020_Date>
    <EPA_x0020_Related_x0020_Documents xmlns="4ffa91fb-a0ff-4ac5-b2db-65c790d184a4" xsi:nil="true"/>
    <j747ac98061d40f0aa7bd47e1db5675d xmlns="4ffa91fb-a0ff-4ac5-b2db-65c790d184a4">
      <Terms xmlns="http://schemas.microsoft.com/office/infopath/2007/PartnerControls"/>
    </j747ac98061d40f0aa7bd47e1db5675d>
    <_Source xmlns="http://schemas.microsoft.com/sharepoint/v3/fields" xsi:nil="true"/>
    <CategoryDescription xmlns="http://schemas.microsoft.com/sharepoint.v3" xsi:nil="true"/>
    <EPA_x0020_Contributor xmlns="4ffa91fb-a0ff-4ac5-b2db-65c790d184a4">
      <UserInfo>
        <DisplayName/>
        <AccountId xsi:nil="true"/>
        <AccountType/>
      </UserInfo>
    </EPA_x0020_Contributor>
    <TaxCatchAll xmlns="4ffa91fb-a0ff-4ac5-b2db-65c790d184a4"/>
    <TaxKeywordTaxHTField xmlns="4ffa91fb-a0ff-4ac5-b2db-65c790d184a4">
      <Terms xmlns="http://schemas.microsoft.com/office/infopath/2007/PartnerControls"/>
    </TaxKeywordTaxHTField>
    <Rights xmlns="4ffa91fb-a0ff-4ac5-b2db-65c790d184a4" xsi:nil="true"/>
    <External_x0020_Contributor xmlns="4ffa91fb-a0ff-4ac5-b2db-65c790d184a4" xsi:nil="true"/>
    <Identifier xmlns="4ffa91fb-a0ff-4ac5-b2db-65c790d184a4" xsi:nil="true"/>
    <Creator xmlns="4ffa91fb-a0ff-4ac5-b2db-65c790d184a4">
      <UserInfo>
        <DisplayName/>
        <AccountId xsi:nil="true"/>
        <AccountType/>
      </UserInfo>
    </Creato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3C5759576ED84DB9151A5871DF9DE1" ma:contentTypeVersion="18" ma:contentTypeDescription="Create a new document." ma:contentTypeScope="" ma:versionID="29695dca10846b5487f9c4c66d29723b">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50d72e6c-d395-4887-b8d1-0a008e0da19f" targetNamespace="http://schemas.microsoft.com/office/2006/metadata/properties" ma:root="true" ma:fieldsID="20938d556f51ab5dc6f76fe082d9c07f" ns1:_="" ns3:_="" ns4:_="" ns5:_="" ns6:_="">
    <xsd:import namespace="http://schemas.microsoft.com/sharepoint/v3"/>
    <xsd:import namespace="4ffa91fb-a0ff-4ac5-b2db-65c790d184a4"/>
    <xsd:import namespace="http://schemas.microsoft.com/sharepoint.v3"/>
    <xsd:import namespace="http://schemas.microsoft.com/sharepoint/v3/fields"/>
    <xsd:import namespace="50d72e6c-d395-4887-b8d1-0a008e0da19f"/>
    <xsd:element name="properties">
      <xsd:complexType>
        <xsd:sequence>
          <xsd:element name="documentManagement">
            <xsd:complexType>
              <xsd:all>
                <xsd:element ref="ns3:Document_x0020_Creation_x0020_Date" minOccurs="0"/>
                <xsd:element ref="ns3:Creator" minOccurs="0"/>
                <xsd:element ref="ns3:EPA_x0020_Office" minOccurs="0"/>
                <xsd:element ref="ns3:Record"/>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93223e-1350-4ffd-a51d-a02750f92ecb}" ma:internalName="TaxCatchAllLabel" ma:readOnly="true" ma:showField="CatchAllDataLabel" ma:web="50d72e6c-d395-4887-b8d1-0a008e0da19f">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93223e-1350-4ffd-a51d-a02750f92ecb}" ma:internalName="TaxCatchAll" ma:showField="CatchAllData" ma:web="50d72e6c-d395-4887-b8d1-0a008e0da19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d72e6c-d395-4887-b8d1-0a008e0da19f"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0AFA95-1A7C-4D2E-BF20-2F5E874C6DA6}">
  <ds:schemaRefs>
    <ds:schemaRef ds:uri="http://schemas.microsoft.com/office/2006/metadata/properties"/>
    <ds:schemaRef ds:uri="http://schemas.microsoft.com/office/infopath/2007/PartnerControls"/>
    <ds:schemaRef ds:uri="http://schemas.microsoft.com/sharepoint/v3/fields"/>
    <ds:schemaRef ds:uri="4ffa91fb-a0ff-4ac5-b2db-65c790d184a4"/>
    <ds:schemaRef ds:uri="http://schemas.microsoft.com/sharepoint/v3"/>
    <ds:schemaRef ds:uri="http://schemas.microsoft.com/sharepoint.v3"/>
  </ds:schemaRefs>
</ds:datastoreItem>
</file>

<file path=customXml/itemProps2.xml><?xml version="1.0" encoding="utf-8"?>
<ds:datastoreItem xmlns:ds="http://schemas.openxmlformats.org/officeDocument/2006/customXml" ds:itemID="{0BD2DF83-1664-42B8-BA1C-CEEC92FDD4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50d72e6c-d395-4887-b8d1-0a008e0da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FC0A38-B0E7-4A9B-A187-44C9F6C9DEF6}">
  <ds:schemaRefs>
    <ds:schemaRef ds:uri="Microsoft.SharePoint.Taxonomy.ContentTypeSync"/>
  </ds:schemaRefs>
</ds:datastoreItem>
</file>

<file path=customXml/itemProps4.xml><?xml version="1.0" encoding="utf-8"?>
<ds:datastoreItem xmlns:ds="http://schemas.openxmlformats.org/officeDocument/2006/customXml" ds:itemID="{260BA197-625B-4DFD-A908-BE19D5D345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Inputs</vt:lpstr>
      <vt:lpstr>Output</vt:lpstr>
      <vt:lpstr>Surface Coating</vt:lpstr>
      <vt:lpstr>Heater</vt:lpstr>
      <vt:lpstr>Cold Degreaser</vt:lpstr>
    </vt:vector>
  </TitlesOfParts>
  <Company>SC DHEC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D. Hardee</dc:creator>
  <cp:lastModifiedBy>EPA</cp:lastModifiedBy>
  <cp:lastPrinted>2012-12-11T01:19:14Z</cp:lastPrinted>
  <dcterms:created xsi:type="dcterms:W3CDTF">2007-09-11T16:38:45Z</dcterms:created>
  <dcterms:modified xsi:type="dcterms:W3CDTF">2015-03-23T19:46:51Z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true</vt:lpwstr>
  </property>
  <property fmtid="{D5CDD505-2E9C-101B-9397-08002B2CF9AE}" pid="3" name="Google.Documents.DocumentId">
    <vt:lpwstr>12d8JRQHog5JKsPAgpXIQ3N7GsNq8cDyCNFiDmaSBOY8</vt:lpwstr>
  </property>
  <property fmtid="{D5CDD505-2E9C-101B-9397-08002B2CF9AE}" pid="4" name="Google.Documents.RevisionId">
    <vt:lpwstr>03774100275629561801</vt:lpwstr>
  </property>
  <property fmtid="{D5CDD505-2E9C-101B-9397-08002B2CF9AE}" pid="5" name="Google.Documents.PluginVersion">
    <vt:lpwstr>2.0.2154.5604</vt:lpwstr>
  </property>
  <property fmtid="{D5CDD505-2E9C-101B-9397-08002B2CF9AE}" pid="6" name="Google.Documents.MergeIncapabilityFlags">
    <vt:i4>0</vt:i4>
  </property>
  <property fmtid="{D5CDD505-2E9C-101B-9397-08002B2CF9AE}" pid="7" name="IsMyDocuments">
    <vt:bool>true</vt:bool>
  </property>
  <property fmtid="{D5CDD505-2E9C-101B-9397-08002B2CF9AE}" pid="8" name="ContentTypeId">
    <vt:lpwstr>0x010100633C5759576ED84DB9151A5871DF9DE1</vt:lpwstr>
  </property>
  <property fmtid="{D5CDD505-2E9C-101B-9397-08002B2CF9AE}" pid="9" name="TaxKeyword">
    <vt:lpwstr/>
  </property>
</Properties>
</file>